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24226"/>
  <mc:AlternateContent xmlns:mc="http://schemas.openxmlformats.org/markup-compatibility/2006">
    <mc:Choice Requires="x15">
      <x15ac:absPath xmlns:x15ac="http://schemas.microsoft.com/office/spreadsheetml/2010/11/ac" url="C:\Users\shira.v\Documents\תקציב\חריגות משרדיות\2021\"/>
    </mc:Choice>
  </mc:AlternateContent>
  <xr:revisionPtr revIDLastSave="0" documentId="8_{BA56E858-9C5E-43DC-B799-4E396D46E063}" xr6:coauthVersionLast="47" xr6:coauthVersionMax="47" xr10:uidLastSave="{00000000-0000-0000-0000-000000000000}"/>
  <bookViews>
    <workbookView xWindow="-120" yWindow="-120" windowWidth="24240" windowHeight="13140" firstSheet="3" activeTab="3" xr2:uid="{00000000-000D-0000-FFFF-FFFF00000000}"/>
  </bookViews>
  <sheets>
    <sheet name="מאי" sheetId="29" state="hidden" r:id="rId1"/>
    <sheet name="דוח החרגות" sheetId="28" state="hidden" r:id="rId2"/>
    <sheet name="דוח פניות לאוצר 2021" sheetId="24" state="hidden" r:id="rId3"/>
    <sheet name="יוני" sheetId="32" r:id="rId4"/>
  </sheets>
  <externalReferences>
    <externalReference r:id="rId5"/>
    <externalReference r:id="rId6"/>
    <externalReference r:id="rId7"/>
    <externalReference r:id="rId8"/>
  </externalReferences>
  <definedNames>
    <definedName name="נספח_ב" localSheetId="3">יוני!#REF!</definedName>
    <definedName name="נספח_ב" localSheetId="0">מאי!#REF!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3" i="32" l="1"/>
  <c r="D22" i="32"/>
  <c r="N37" i="28" l="1"/>
  <c r="D16" i="32"/>
  <c r="G2" i="24"/>
  <c r="G3" i="24"/>
  <c r="G4" i="24"/>
  <c r="G5" i="24"/>
  <c r="G6" i="24"/>
  <c r="G7" i="24"/>
  <c r="G8" i="24"/>
  <c r="G11" i="24"/>
  <c r="J2" i="24"/>
  <c r="J5" i="24"/>
  <c r="J6" i="24"/>
  <c r="J7" i="24"/>
  <c r="J8" i="24"/>
  <c r="J9" i="24"/>
  <c r="J10" i="24"/>
  <c r="J11" i="24"/>
  <c r="O36" i="28" l="1"/>
  <c r="F36" i="28"/>
  <c r="O35" i="28"/>
  <c r="F35" i="28"/>
  <c r="F34" i="28"/>
  <c r="D34" i="28"/>
  <c r="O34" i="28" s="1"/>
  <c r="O33" i="28"/>
  <c r="F33" i="28"/>
  <c r="N32" i="28"/>
  <c r="F32" i="28"/>
  <c r="D32" i="28"/>
  <c r="O31" i="28"/>
  <c r="F31" i="28"/>
  <c r="O30" i="28"/>
  <c r="F30" i="28"/>
  <c r="O29" i="28"/>
  <c r="F29" i="28"/>
  <c r="F28" i="28"/>
  <c r="D28" i="28"/>
  <c r="O28" i="28" s="1"/>
  <c r="F27" i="28"/>
  <c r="D27" i="28"/>
  <c r="O27" i="28" s="1"/>
  <c r="O26" i="28"/>
  <c r="N25" i="28"/>
  <c r="F25" i="28"/>
  <c r="D25" i="28"/>
  <c r="O24" i="28"/>
  <c r="F24" i="28"/>
  <c r="O23" i="28"/>
  <c r="F23" i="28"/>
  <c r="N22" i="28"/>
  <c r="O22" i="28" s="1"/>
  <c r="F22" i="28"/>
  <c r="F21" i="28"/>
  <c r="D21" i="28"/>
  <c r="O21" i="28" s="1"/>
  <c r="F20" i="28"/>
  <c r="D20" i="28"/>
  <c r="O20" i="28" s="1"/>
  <c r="F19" i="28"/>
  <c r="D19" i="28"/>
  <c r="O19" i="28" s="1"/>
  <c r="N18" i="28"/>
  <c r="O18" i="28" s="1"/>
  <c r="F18" i="28"/>
  <c r="N17" i="28"/>
  <c r="O17" i="28" s="1"/>
  <c r="F17" i="28"/>
  <c r="N16" i="28"/>
  <c r="O16" i="28" s="1"/>
  <c r="F16" i="28"/>
  <c r="F15" i="28"/>
  <c r="D15" i="28"/>
  <c r="O15" i="28" s="1"/>
  <c r="O14" i="28"/>
  <c r="F14" i="28"/>
  <c r="O13" i="28"/>
  <c r="F13" i="28"/>
  <c r="O12" i="28"/>
  <c r="F12" i="28"/>
  <c r="O11" i="28"/>
  <c r="F11" i="28"/>
  <c r="O10" i="28"/>
  <c r="F10" i="28"/>
  <c r="O9" i="28"/>
  <c r="F9" i="28"/>
  <c r="O8" i="28"/>
  <c r="F8" i="28"/>
  <c r="O7" i="28"/>
  <c r="F7" i="28"/>
  <c r="O6" i="28"/>
  <c r="F6" i="28"/>
  <c r="O5" i="28"/>
  <c r="F5" i="28"/>
  <c r="F4" i="28"/>
  <c r="D4" i="28"/>
  <c r="O4" i="28" s="1"/>
  <c r="N3" i="28"/>
  <c r="F3" i="28"/>
  <c r="D3" i="28"/>
  <c r="O2" i="28"/>
  <c r="F2" i="28"/>
  <c r="D17" i="29"/>
  <c r="O32" i="28" l="1"/>
  <c r="O25" i="28"/>
  <c r="O3" i="28"/>
  <c r="F9" i="24"/>
  <c r="F8" i="24"/>
  <c r="F7" i="24"/>
  <c r="F6" i="24"/>
  <c r="I4" i="24"/>
  <c r="I3" i="24"/>
  <c r="J3" i="24" l="1"/>
  <c r="J4" i="24" l="1"/>
</calcChain>
</file>

<file path=xl/sharedStrings.xml><?xml version="1.0" encoding="utf-8"?>
<sst xmlns="http://schemas.openxmlformats.org/spreadsheetml/2006/main" count="252" uniqueCount="173">
  <si>
    <t>הרשות הלאומית לחדשנות טכנולוגית</t>
  </si>
  <si>
    <t>פורמט לדיווח על החלטות בעניין הוצאות המשרד</t>
  </si>
  <si>
    <t>מס</t>
  </si>
  <si>
    <t>ספק</t>
  </si>
  <si>
    <t>נושא ההתקשרות</t>
  </si>
  <si>
    <r>
      <t>סכום ההתקשרות (</t>
    </r>
    <r>
      <rPr>
        <sz val="8"/>
        <color theme="1"/>
        <rFont val="Arial"/>
        <family val="2"/>
        <charset val="177"/>
        <scheme val="minor"/>
      </rPr>
      <t>סכום ההתקשרות ולא סכום המזומן</t>
    </r>
    <r>
      <rPr>
        <sz val="11"/>
        <color theme="1"/>
        <rFont val="Arial"/>
        <family val="2"/>
        <charset val="177"/>
        <scheme val="minor"/>
      </rPr>
      <t>)</t>
    </r>
  </si>
  <si>
    <t xml:space="preserve">שם הספק </t>
  </si>
  <si>
    <t>סכום מבוקש בש"ח כולל מעמ!!</t>
  </si>
  <si>
    <t>תקנה/ פריט התחייבות</t>
  </si>
  <si>
    <t>שם תקנה</t>
  </si>
  <si>
    <t>מרכז קרנות</t>
  </si>
  <si>
    <t>שם מרכז קרנות</t>
  </si>
  <si>
    <t>תפעול</t>
  </si>
  <si>
    <t>משרדיות</t>
  </si>
  <si>
    <t>אושר</t>
  </si>
  <si>
    <t xml:space="preserve">מחשוב </t>
  </si>
  <si>
    <t>משאבי אנוש</t>
  </si>
  <si>
    <t>מספר</t>
  </si>
  <si>
    <t>תאריך פנייה</t>
  </si>
  <si>
    <t>נושא</t>
  </si>
  <si>
    <t>סכום מבוקש</t>
  </si>
  <si>
    <t>סטטוס</t>
  </si>
  <si>
    <t>סכום מאושר</t>
  </si>
  <si>
    <t>שיווק</t>
  </si>
  <si>
    <t>הפרש</t>
  </si>
  <si>
    <t>נספח ב להודעת הנחיות לביצוע התקציב בשנת 2021</t>
  </si>
  <si>
    <t>24.01.2021</t>
  </si>
  <si>
    <t>25.01.2021</t>
  </si>
  <si>
    <t>הערות</t>
  </si>
  <si>
    <t xml:space="preserve">ניצול מתוך הפנייה </t>
  </si>
  <si>
    <t xml:space="preserve">יתרה לניצול </t>
  </si>
  <si>
    <t>בקשה למתן מענקים מכוח החוק לעידוד מחקר, פיתוח וחדשנות טכנולוגית בתעשייה, תשמ"ד-1094 (תקציב הרשאה) והתקשרויות נלוות, עבור קול קורא לניסוי והדגמת טכנולוגיות רחפנים במרחב אווירי מנוהל-  הרשות הלאומית לחדשנות</t>
  </si>
  <si>
    <t>בקשה להתקשרות עם משרדי רואי חשבון + מעריכי שווי קניין רוחני – הרשות הלאומית לחדשנות טכנולוגית</t>
  </si>
  <si>
    <t>07.02.2021</t>
  </si>
  <si>
    <t xml:space="preserve">בקשה להתקשרות עם בודקים מקצועיים  </t>
  </si>
  <si>
    <t>14.02.2021</t>
  </si>
  <si>
    <t xml:space="preserve">בקשה לאישור התקשרות עם בי ויי הפקות והשקעות בע"מ להפקת כנס השקה לתכנית הורייזון אירופה (Horizon Europe) </t>
  </si>
  <si>
    <t>הוגש</t>
  </si>
  <si>
    <t>יאושר על ידי החשב- יצאה הוראת תכם מעודכנת בנושא</t>
  </si>
  <si>
    <t>דיור</t>
  </si>
  <si>
    <t>02.03.2021</t>
  </si>
  <si>
    <t xml:space="preserve">בקשה ל: מתן מענקים מכוח החוק לעידוד מחקר, פיתוח וחדשנות טכנולוגית בתעשייה, תשמ"ד-1094 (תקציב הרשאה) והתקשרויות נלוות – הרשות הלאומית לחדשנות טכנולוגית- </t>
  </si>
  <si>
    <t>תקציב הרשאה הגדלה ל 526.2 משל"ח + לפמ 1.5 מלשח. הסכום המבוקש מתייחס לתקציב מזומן בלבד</t>
  </si>
  <si>
    <t>14.03.2021</t>
  </si>
  <si>
    <t>בקשה להתקשרות עם ספקים המעניקים שירותי יחסי ציבור בארץ ובחו"ל – רשות החדשנות</t>
  </si>
  <si>
    <t>דבי משה והמקומיוניקיישנס</t>
  </si>
  <si>
    <t>16.03.2021</t>
  </si>
  <si>
    <t xml:space="preserve">בקשה לאישור פרסומה של פנייה פרטנית מכוח מכרז מסגרת מס' 11/2018 של הרשות, לקבלת שירותי מידענות ומחקר שוק, ולהתקשרות עם ספק המסגרת הזוכה בפנייה הפרטנית, לצורך ניהול, ריכוז וניתוח הממצאים של פנייה לציבור לקבלת מידע בנוגע לרגולציה וחסמים רגולטוריים ביחס לתחום הבינה המלאכותית, לשם קידום פעילות זו בישראל </t>
  </si>
  <si>
    <t>18.03.2021</t>
  </si>
  <si>
    <t>בקשה למימוש אופציה להתקשרות עם ארנסט יאנג (ישראל) בע"מ – רשות החדשנות</t>
  </si>
  <si>
    <t xml:space="preserve">מטרת ההתקשרות </t>
  </si>
  <si>
    <r>
      <t>סכום התקשרות מצטבר מול הספק (</t>
    </r>
    <r>
      <rPr>
        <b/>
        <sz val="8"/>
        <color theme="1"/>
        <rFont val="Arial"/>
        <family val="2"/>
        <scheme val="minor"/>
      </rPr>
      <t>אם רלוונטי</t>
    </r>
    <r>
      <rPr>
        <b/>
        <sz val="11"/>
        <color theme="1"/>
        <rFont val="Arial"/>
        <family val="2"/>
        <scheme val="minor"/>
      </rPr>
      <t>)</t>
    </r>
  </si>
  <si>
    <t>יתרה מתקרת ההתקשרות</t>
  </si>
  <si>
    <r>
      <t>אושר בוועדת חריגים (</t>
    </r>
    <r>
      <rPr>
        <b/>
        <sz val="8"/>
        <color theme="1"/>
        <rFont val="Arial"/>
        <family val="2"/>
        <scheme val="minor"/>
      </rPr>
      <t>אם כן, לציין מס פנייה ותאריך אישור</t>
    </r>
    <r>
      <rPr>
        <b/>
        <sz val="11"/>
        <color theme="1"/>
        <rFont val="Arial"/>
        <family val="2"/>
        <scheme val="minor"/>
      </rPr>
      <t>)</t>
    </r>
  </si>
  <si>
    <r>
      <t>אושר בוועדת מכרזים (</t>
    </r>
    <r>
      <rPr>
        <b/>
        <sz val="8"/>
        <color theme="1"/>
        <rFont val="Arial"/>
        <family val="2"/>
        <scheme val="minor"/>
      </rPr>
      <t>אם כן, לציין תאריך דיון</t>
    </r>
    <r>
      <rPr>
        <b/>
        <sz val="11"/>
        <color theme="1"/>
        <rFont val="Arial"/>
        <family val="2"/>
        <scheme val="minor"/>
      </rPr>
      <t>)</t>
    </r>
  </si>
  <si>
    <t>נוצרה/ הוגדלה התחייבות מספר</t>
  </si>
  <si>
    <t xml:space="preserve">שווי שורה/ הגדלה </t>
  </si>
  <si>
    <t>הפרש יתרה שלא נוצלה מהחרגה</t>
  </si>
  <si>
    <t>החרגה קיימת/קודמת</t>
  </si>
  <si>
    <t>סכום להחרגה</t>
  </si>
  <si>
    <t>הוחרג בפועל</t>
  </si>
  <si>
    <t>23.00</t>
  </si>
  <si>
    <t>דוח החרגות לחודש: מאי 2021</t>
  </si>
  <si>
    <t>פרסומי חודש 05/2021 בהתאם להוראות סעיף 49(ב) לחוק יסודות התקציב, תשמ"ה-1985</t>
  </si>
  <si>
    <t>פלאפון תקשרות</t>
  </si>
  <si>
    <t>טיקל סנטר</t>
  </si>
  <si>
    <t>בינת סמך</t>
  </si>
  <si>
    <t>כיבוד</t>
  </si>
  <si>
    <t>26.05.2021</t>
  </si>
  <si>
    <t>01.06.2021</t>
  </si>
  <si>
    <t>כנסים</t>
  </si>
  <si>
    <t>שיווק תכנים</t>
  </si>
  <si>
    <t>הוצאות מחשוב</t>
  </si>
  <si>
    <t xml:space="preserve">מיקור חוץ- מיחשוב </t>
  </si>
  <si>
    <t>הרחבת והארכת התקשרות- שירותי הסעות</t>
  </si>
  <si>
    <t>דמי חבר- 2021</t>
  </si>
  <si>
    <t xml:space="preserve">דיור- שיפוץ </t>
  </si>
  <si>
    <t>קדמי אלחנתי</t>
  </si>
  <si>
    <t>הגדלת התקשרות ל 2021</t>
  </si>
  <si>
    <t>חשבות</t>
  </si>
  <si>
    <t>2.06</t>
  </si>
  <si>
    <t>מיכאל נירגד</t>
  </si>
  <si>
    <t>הפקת סרטון פינטק</t>
  </si>
  <si>
    <t>12.05.2021</t>
  </si>
  <si>
    <t>הראל מחשבים</t>
  </si>
  <si>
    <t>רכישת מחשב נסיוני- -x13-l13-3160521</t>
  </si>
  <si>
    <t>האקדמיה לפירות</t>
  </si>
  <si>
    <t>מגשי פירות לעובדים אשר נמצאים זמן ממושך בבית</t>
  </si>
  <si>
    <t xml:space="preserve">EVENTACT </t>
  </si>
  <si>
    <t>איפיון פרויקט: שבוע הכשרות של רשות החדשנות</t>
  </si>
  <si>
    <t>מי עדן</t>
  </si>
  <si>
    <t>מיכל מים לאודיטוריום</t>
  </si>
  <si>
    <t>תיירות צובה</t>
  </si>
  <si>
    <t xml:space="preserve"> פרידת המועצה מאהרון</t>
  </si>
  <si>
    <t>אירוח אורחים מחו"ל</t>
  </si>
  <si>
    <t>מתוקה</t>
  </si>
  <si>
    <t xml:space="preserve"> אייץ. אר. די. הכשרות לגיוס עובדים</t>
  </si>
  <si>
    <t>השתתפות בכננס משאבי אנוש</t>
  </si>
  <si>
    <t>זיפקום</t>
  </si>
  <si>
    <t xml:space="preserve">הגדלת רישוי ה-Proofpoint של הרשות </t>
  </si>
  <si>
    <t>הגדלת מספר משתמשים לשירותי SOC</t>
  </si>
  <si>
    <t>29.12.2020</t>
  </si>
  <si>
    <t>אוראל בן ישי</t>
  </si>
  <si>
    <t>שירותי איש טכני לאירוע בנצרת</t>
  </si>
  <si>
    <t xml:space="preserve">גלובס </t>
  </si>
  <si>
    <t>מינוי שנתי לדרור</t>
  </si>
  <si>
    <t>אקטיב טרייל</t>
  </si>
  <si>
    <t>דיוורים- המחיר הוא ל5 מליון דיוורים</t>
  </si>
  <si>
    <t>קלאוד אפליקיישנס</t>
  </si>
  <si>
    <t>הרחבה עבור טיפול ועדכון בבעיות בהקמת המערכת</t>
  </si>
  <si>
    <t>09.06.2021</t>
  </si>
  <si>
    <t>הרצוג פוקס נאמן</t>
  </si>
  <si>
    <t xml:space="preserve">הגדלה והרחבת התקשרות- 2021 </t>
  </si>
  <si>
    <t>ייעוץ משפטי</t>
  </si>
  <si>
    <t>4501952383  </t>
  </si>
  <si>
    <t>רובין שמואלביץ, עו"ד</t>
  </si>
  <si>
    <t>ניתאי</t>
  </si>
  <si>
    <t>קורס עזרה ראשונה</t>
  </si>
  <si>
    <t>Buy me</t>
  </si>
  <si>
    <t>מתנות לבני מצווה</t>
  </si>
  <si>
    <t>קל גב</t>
  </si>
  <si>
    <t xml:space="preserve">ילקוטים לעולים לכיתה א </t>
  </si>
  <si>
    <t>מיכל רוזן</t>
  </si>
  <si>
    <t>הרחבת התקשרות- אדריכלות קלאוזנר</t>
  </si>
  <si>
    <t>02.09.2020</t>
  </si>
  <si>
    <t>חללי עבודה</t>
  </si>
  <si>
    <t>דואר ישראל</t>
  </si>
  <si>
    <t xml:space="preserve">למשלוח 2350 מכתבים רשומים , לטובת קרן תמורה עבור חברות שלא שילמו תמלוגים </t>
  </si>
  <si>
    <t>תפעול תמיכות</t>
  </si>
  <si>
    <t xml:space="preserve">אינטגרציה של המרכזיה עם ואצאפ </t>
  </si>
  <si>
    <t>שירות לקוחות</t>
  </si>
  <si>
    <t>פלטפורמה למציאת מידע אודות חברות פרטיות וציבוריות- 45,000 דולר להתקשרות של שנה</t>
  </si>
  <si>
    <t>13.06.2021</t>
  </si>
  <si>
    <t>יועצים ומחקר</t>
  </si>
  <si>
    <t>ליצ'י תרגומים</t>
  </si>
  <si>
    <t>תרגום מסמכים לאנגלית</t>
  </si>
  <si>
    <t>כיבוד לאירוע יזמים מהחברה הערבית</t>
  </si>
  <si>
    <t>ריקושט</t>
  </si>
  <si>
    <t>תווי קנייה לילדי העובדים המתגייסים</t>
  </si>
  <si>
    <t>בית גנזים</t>
  </si>
  <si>
    <t>הגדלת ההזמנה ל 2021</t>
  </si>
  <si>
    <t xml:space="preserve">לב המשרד </t>
  </si>
  <si>
    <t>חותמת לימור</t>
  </si>
  <si>
    <t xml:space="preserve">הגדלת הזמנה </t>
  </si>
  <si>
    <t>גטי מלחה</t>
  </si>
  <si>
    <t>הגדלת הזמנה לרבעון שלישי של 2021</t>
  </si>
  <si>
    <t xml:space="preserve">בית התפוצות </t>
  </si>
  <si>
    <t>יום עיון זירת צמיחה</t>
  </si>
  <si>
    <t>אן טן אס ישראל</t>
  </si>
  <si>
    <t>יח"צ בינ"ל</t>
  </si>
  <si>
    <t>קורקט</t>
  </si>
  <si>
    <t xml:space="preserve">מתנות לראש השנה </t>
  </si>
  <si>
    <t>ברנרד קרן</t>
  </si>
  <si>
    <t>הרצאה בנוגע להטרדה מינית במקומות העבודה</t>
  </si>
  <si>
    <t xml:space="preserve">בקשה להרחבת התקשרות עם חברת ספארק ביונד בע"מ </t>
  </si>
  <si>
    <t>דוח החרגות לחודש: יוני 2021</t>
  </si>
  <si>
    <t>פרסומי חודש 06/2021 בהתאם להוראות סעיף 49(ב) לחוק יסודות התקציב, תשמ"ה-1985</t>
  </si>
  <si>
    <t>שירותי דיוור</t>
  </si>
  <si>
    <t>הפקת כנסים ואירועי שיווק</t>
  </si>
  <si>
    <t>שירותי יח"צ בינ"ל- פנייה 35254 אושרה בוועדת חריגים של האוצר</t>
  </si>
  <si>
    <t xml:space="preserve">שירותי מחשוב- רשיונות שימוש, חומרה ותוכנה </t>
  </si>
  <si>
    <t>פעולות רווחה</t>
  </si>
  <si>
    <t xml:space="preserve">מתנות לעובדים לראש השנה </t>
  </si>
  <si>
    <t>שכירות ג.ט.י- רבעון שלישי 2021</t>
  </si>
  <si>
    <t>הוצאות משרדיות</t>
  </si>
  <si>
    <t>התקשרות משלימה לפרויקט בניין הידע</t>
  </si>
  <si>
    <t>יעוץ משפטי, הרחבת התקשרות.  פנייה 32238 אושרה בוועדת החריגים של האוצר</t>
  </si>
  <si>
    <r>
      <t>Crunchbase Inc</t>
    </r>
    <r>
      <rPr>
        <sz val="11"/>
        <color rgb="FFFF0000"/>
        <rFont val="Arial"/>
        <family val="2"/>
        <scheme val="minor"/>
      </rPr>
      <t xml:space="preserve"> </t>
    </r>
  </si>
  <si>
    <t>הרחבת התקשרות, ביצוע אדריכלות במתחם קלאוזנר. פנייה 32180 אושרה בוועדת החריגים של האוצר</t>
  </si>
  <si>
    <t xml:space="preserve">ביצוע ביקורת כספים בחשבות, הארכת התקשרות- פנייה 31201  אושרה בוועדת החריגים של האוצר </t>
  </si>
  <si>
    <t xml:space="preserve">אירוע פרידה </t>
  </si>
  <si>
    <t xml:space="preserve">ימי עיון </t>
  </si>
  <si>
    <t xml:space="preserve">שיפורי מרכזייה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</si>
</sst>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43" formatCode="_ * #,##0.00_ ;_ * \-#,##0.00_ ;_ * &quot;-&quot;??_ ;_ @_ "/>
  </numFmts>
  <fonts count="29" x14ac:knownFonts="1">
    <font>
      <sz val="11"/>
      <color theme="1"/>
      <name val="Arial"/>
      <family val="2"/>
      <charset val="177"/>
      <scheme val="minor"/>
    </font>
    <font>
      <sz val="11"/>
      <color theme="1"/>
      <name val="Arial"/>
      <family val="2"/>
      <scheme val="minor"/>
    </font>
    <font>
      <sz val="10"/>
      <name val="Arial"/>
      <family val="2"/>
    </font>
    <font>
      <sz val="11"/>
      <color rgb="FFFF0000"/>
      <name val="Arial"/>
      <family val="2"/>
      <charset val="177"/>
      <scheme val="minor"/>
    </font>
    <font>
      <sz val="10"/>
      <color theme="1"/>
      <name val="Times New Roman"/>
      <family val="1"/>
    </font>
    <font>
      <b/>
      <sz val="11"/>
      <color rgb="FFFFFFFF"/>
      <name val="Arial"/>
      <family val="2"/>
      <scheme val="minor"/>
    </font>
    <font>
      <sz val="11"/>
      <color theme="1"/>
      <name val="David"/>
      <family val="2"/>
      <charset val="177"/>
    </font>
    <font>
      <b/>
      <sz val="12"/>
      <color rgb="FF000000"/>
      <name val="David"/>
      <family val="2"/>
      <charset val="177"/>
    </font>
    <font>
      <sz val="12"/>
      <color rgb="FF5A5A5A"/>
      <name val="David"/>
      <family val="2"/>
      <charset val="177"/>
    </font>
    <font>
      <sz val="12"/>
      <color theme="1"/>
      <name val="David"/>
      <family val="2"/>
      <charset val="177"/>
    </font>
    <font>
      <sz val="10"/>
      <color theme="1"/>
      <name val="David"/>
      <family val="2"/>
      <charset val="177"/>
    </font>
    <font>
      <sz val="8"/>
      <color theme="1"/>
      <name val="Arial"/>
      <family val="2"/>
      <charset val="177"/>
      <scheme val="minor"/>
    </font>
    <font>
      <sz val="11"/>
      <name val="David"/>
      <family val="2"/>
      <charset val="177"/>
    </font>
    <font>
      <sz val="11"/>
      <color theme="1"/>
      <name val="Arial"/>
      <family val="2"/>
      <charset val="177"/>
      <scheme val="minor"/>
    </font>
    <font>
      <sz val="10"/>
      <name val="Arial"/>
      <family val="2"/>
    </font>
    <font>
      <sz val="10"/>
      <name val="Arial"/>
      <family val="2"/>
    </font>
    <font>
      <sz val="12"/>
      <name val="David"/>
      <family val="2"/>
      <charset val="177"/>
    </font>
    <font>
      <sz val="10"/>
      <name val="Arial"/>
      <family val="2"/>
    </font>
    <font>
      <sz val="10"/>
      <name val="Arial"/>
      <family val="2"/>
    </font>
    <font>
      <sz val="10"/>
      <name val="Arial"/>
      <family val="2"/>
    </font>
    <font>
      <sz val="11"/>
      <color theme="1"/>
      <name val="David"/>
      <family val="2"/>
    </font>
    <font>
      <b/>
      <sz val="11"/>
      <color theme="1"/>
      <name val="Arial"/>
      <family val="2"/>
      <scheme val="minor"/>
    </font>
    <font>
      <b/>
      <sz val="8"/>
      <color theme="1"/>
      <name val="Arial"/>
      <family val="2"/>
      <scheme val="minor"/>
    </font>
    <font>
      <b/>
      <sz val="6"/>
      <color theme="1"/>
      <name val="Arial"/>
      <family val="2"/>
      <scheme val="minor"/>
    </font>
    <font>
      <sz val="11"/>
      <color rgb="FFFF0000"/>
      <name val="Arial"/>
      <family val="2"/>
      <scheme val="minor"/>
    </font>
    <font>
      <sz val="10"/>
      <name val="Arial"/>
      <family val="2"/>
    </font>
    <font>
      <sz val="11"/>
      <color rgb="FFFF0000"/>
      <name val="Calibri"/>
      <family val="2"/>
    </font>
    <font>
      <b/>
      <sz val="11"/>
      <color rgb="FFFF0000"/>
      <name val="Arial"/>
      <family val="2"/>
      <scheme val="minor"/>
    </font>
    <font>
      <sz val="11"/>
      <color rgb="FFFF0000"/>
      <name val="David"/>
      <family val="2"/>
    </font>
  </fonts>
  <fills count="4">
    <fill>
      <patternFill patternType="none"/>
    </fill>
    <fill>
      <patternFill patternType="gray125"/>
    </fill>
    <fill>
      <patternFill patternType="solid">
        <fgColor rgb="FFFFCCCC"/>
        <bgColor indexed="64"/>
      </patternFill>
    </fill>
    <fill>
      <patternFill patternType="solid">
        <fgColor rgb="FF00CC99"/>
        <bgColor indexed="64"/>
      </patternFill>
    </fill>
  </fills>
  <borders count="13">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theme="6"/>
      </bottom>
      <diagonal/>
    </border>
  </borders>
  <cellStyleXfs count="13">
    <xf numFmtId="0" fontId="0" fillId="0" borderId="0"/>
    <xf numFmtId="43" fontId="13" fillId="0" borderId="0" applyFont="0" applyFill="0" applyBorder="0" applyAlignment="0" applyProtection="0"/>
    <xf numFmtId="0" fontId="2" fillId="0" borderId="0"/>
    <xf numFmtId="44" fontId="13" fillId="0" borderId="0" applyFont="0" applyFill="0" applyBorder="0" applyAlignment="0" applyProtection="0"/>
    <xf numFmtId="0" fontId="14" fillId="0" borderId="0"/>
    <xf numFmtId="0" fontId="15" fillId="0" borderId="0"/>
    <xf numFmtId="43" fontId="13" fillId="0" borderId="0" applyFont="0" applyFill="0" applyBorder="0" applyAlignment="0" applyProtection="0"/>
    <xf numFmtId="0" fontId="2" fillId="0" borderId="0"/>
    <xf numFmtId="0" fontId="17" fillId="0" borderId="0"/>
    <xf numFmtId="0" fontId="18" fillId="0" borderId="0"/>
    <xf numFmtId="0" fontId="19" fillId="0" borderId="0"/>
    <xf numFmtId="9" fontId="13" fillId="0" borderId="0" applyFont="0" applyFill="0" applyBorder="0" applyAlignment="0" applyProtection="0"/>
    <xf numFmtId="0" fontId="25" fillId="0" borderId="0"/>
  </cellStyleXfs>
  <cellXfs count="76">
    <xf numFmtId="0" fontId="0" fillId="0" borderId="0" xfId="0"/>
    <xf numFmtId="0" fontId="4" fillId="0" borderId="0" xfId="0" applyFont="1"/>
    <xf numFmtId="0" fontId="5" fillId="0" borderId="0" xfId="0" applyFont="1" applyAlignment="1">
      <alignment vertical="center" readingOrder="2"/>
    </xf>
    <xf numFmtId="0" fontId="6" fillId="0" borderId="0" xfId="0" applyFont="1"/>
    <xf numFmtId="0" fontId="7" fillId="0" borderId="2" xfId="0" applyFont="1" applyBorder="1" applyAlignment="1">
      <alignment horizontal="right" vertical="center" readingOrder="2"/>
    </xf>
    <xf numFmtId="0" fontId="8" fillId="0" borderId="5" xfId="0" applyFont="1" applyBorder="1" applyAlignment="1">
      <alignment vertical="center" readingOrder="2"/>
    </xf>
    <xf numFmtId="0" fontId="9" fillId="0" borderId="4" xfId="0" applyFont="1" applyBorder="1" applyAlignment="1">
      <alignment vertical="center" readingOrder="2"/>
    </xf>
    <xf numFmtId="0" fontId="9" fillId="0" borderId="5" xfId="0" applyFont="1" applyBorder="1" applyAlignment="1">
      <alignment vertical="center" readingOrder="2"/>
    </xf>
    <xf numFmtId="0" fontId="10" fillId="0" borderId="4" xfId="0" applyFont="1" applyBorder="1"/>
    <xf numFmtId="0" fontId="10" fillId="0" borderId="5" xfId="0" applyFont="1" applyBorder="1"/>
    <xf numFmtId="0" fontId="6" fillId="0" borderId="6" xfId="0" applyFont="1" applyBorder="1"/>
    <xf numFmtId="0" fontId="6" fillId="0" borderId="7" xfId="0" applyFont="1" applyBorder="1"/>
    <xf numFmtId="0" fontId="0" fillId="0" borderId="0" xfId="0" applyAlignment="1">
      <alignment horizontal="center" vertical="center"/>
    </xf>
    <xf numFmtId="0" fontId="0" fillId="0" borderId="0" xfId="0" applyAlignment="1">
      <alignment horizontal="center" vertical="center" wrapText="1"/>
    </xf>
    <xf numFmtId="0" fontId="12" fillId="0" borderId="0" xfId="0" applyFont="1"/>
    <xf numFmtId="0" fontId="6" fillId="0" borderId="0" xfId="0" applyFont="1" applyAlignment="1">
      <alignment wrapText="1"/>
    </xf>
    <xf numFmtId="43" fontId="6" fillId="0" borderId="0" xfId="1" applyFont="1"/>
    <xf numFmtId="0" fontId="3" fillId="0" borderId="0" xfId="0" applyFont="1"/>
    <xf numFmtId="0" fontId="7" fillId="0" borderId="3" xfId="0" applyFont="1" applyBorder="1" applyAlignment="1">
      <alignment horizontal="center" vertical="center" wrapText="1" readingOrder="2"/>
    </xf>
    <xf numFmtId="0" fontId="6" fillId="0" borderId="0" xfId="0" applyFont="1" applyAlignment="1">
      <alignment horizontal="right" wrapText="1" readingOrder="2"/>
    </xf>
    <xf numFmtId="0" fontId="16" fillId="0" borderId="4" xfId="0" applyFont="1" applyBorder="1" applyAlignment="1">
      <alignment vertical="center" readingOrder="2"/>
    </xf>
    <xf numFmtId="0" fontId="0" fillId="0" borderId="0" xfId="0" applyAlignment="1">
      <alignment wrapText="1"/>
    </xf>
    <xf numFmtId="43" fontId="0" fillId="0" borderId="0" xfId="1" applyFont="1"/>
    <xf numFmtId="0" fontId="0" fillId="0" borderId="1" xfId="0" applyBorder="1" applyAlignment="1">
      <alignment wrapText="1"/>
    </xf>
    <xf numFmtId="43" fontId="0" fillId="0" borderId="0" xfId="1" applyFont="1" applyAlignment="1">
      <alignment horizontal="center" vertical="center" wrapText="1"/>
    </xf>
    <xf numFmtId="43" fontId="0" fillId="0" borderId="0" xfId="1" applyFont="1" applyAlignment="1">
      <alignment wrapText="1"/>
    </xf>
    <xf numFmtId="0" fontId="20" fillId="0" borderId="0" xfId="0" applyFont="1" applyAlignment="1">
      <alignment wrapText="1"/>
    </xf>
    <xf numFmtId="43" fontId="20" fillId="0" borderId="0" xfId="1" applyFont="1"/>
    <xf numFmtId="0" fontId="0" fillId="0" borderId="0" xfId="0" applyAlignment="1">
      <alignment horizontal="right" wrapText="1"/>
    </xf>
    <xf numFmtId="43" fontId="0" fillId="0" borderId="0" xfId="1" applyFont="1" applyAlignment="1">
      <alignment horizontal="right" wrapText="1"/>
    </xf>
    <xf numFmtId="0" fontId="0" fillId="0" borderId="8" xfId="0" applyBorder="1" applyAlignment="1">
      <alignment wrapText="1"/>
    </xf>
    <xf numFmtId="43" fontId="0" fillId="0" borderId="8" xfId="1" applyFont="1" applyBorder="1" applyAlignment="1">
      <alignment wrapText="1"/>
    </xf>
    <xf numFmtId="43" fontId="0" fillId="0" borderId="8" xfId="0" applyNumberFormat="1" applyBorder="1" applyAlignment="1">
      <alignment wrapText="1"/>
    </xf>
    <xf numFmtId="2" fontId="21" fillId="3" borderId="8" xfId="0" applyNumberFormat="1" applyFont="1" applyFill="1" applyBorder="1" applyAlignment="1">
      <alignment horizontal="center" vertical="center" wrapText="1"/>
    </xf>
    <xf numFmtId="0" fontId="21" fillId="3" borderId="9" xfId="0" applyFont="1" applyFill="1" applyBorder="1" applyAlignment="1">
      <alignment horizontal="center" vertical="center" wrapText="1"/>
    </xf>
    <xf numFmtId="0" fontId="21" fillId="3" borderId="10" xfId="0" applyFont="1" applyFill="1" applyBorder="1" applyAlignment="1">
      <alignment horizontal="center" vertical="center" wrapText="1"/>
    </xf>
    <xf numFmtId="43" fontId="21" fillId="3" borderId="10" xfId="1" applyFont="1" applyFill="1" applyBorder="1" applyAlignment="1">
      <alignment horizontal="center" vertical="center" wrapText="1"/>
    </xf>
    <xf numFmtId="4" fontId="21" fillId="3" borderId="11" xfId="1" applyNumberFormat="1" applyFont="1" applyFill="1" applyBorder="1" applyAlignment="1">
      <alignment horizontal="center" vertical="center" wrapText="1"/>
    </xf>
    <xf numFmtId="43" fontId="23" fillId="2" borderId="0" xfId="1" applyFont="1" applyFill="1" applyAlignment="1">
      <alignment horizontal="center" vertical="center" wrapText="1"/>
    </xf>
    <xf numFmtId="9" fontId="23" fillId="2" borderId="0" xfId="11" applyFont="1" applyFill="1" applyAlignment="1">
      <alignment horizontal="center" vertical="center" wrapText="1"/>
    </xf>
    <xf numFmtId="0" fontId="21" fillId="0" borderId="0" xfId="0" applyFont="1" applyAlignment="1">
      <alignment horizontal="center" vertical="center" wrapText="1"/>
    </xf>
    <xf numFmtId="4" fontId="0" fillId="0" borderId="0" xfId="0" applyNumberFormat="1" applyAlignment="1">
      <alignment wrapText="1"/>
    </xf>
    <xf numFmtId="2" fontId="0" fillId="0" borderId="0" xfId="0" applyNumberFormat="1" applyAlignment="1">
      <alignment wrapText="1"/>
    </xf>
    <xf numFmtId="43" fontId="0" fillId="0" borderId="1" xfId="1" applyFont="1" applyBorder="1" applyAlignment="1">
      <alignment wrapText="1"/>
    </xf>
    <xf numFmtId="43" fontId="0" fillId="0" borderId="1" xfId="0" applyNumberFormat="1" applyBorder="1" applyAlignment="1">
      <alignment wrapText="1"/>
    </xf>
    <xf numFmtId="4" fontId="3" fillId="0" borderId="1" xfId="1" applyNumberFormat="1" applyFont="1" applyBorder="1" applyAlignment="1">
      <alignment wrapText="1"/>
    </xf>
    <xf numFmtId="0" fontId="3" fillId="0" borderId="0" xfId="0" applyFont="1" applyAlignment="1">
      <alignment wrapText="1"/>
    </xf>
    <xf numFmtId="0" fontId="24" fillId="0" borderId="1" xfId="0" applyFont="1" applyBorder="1" applyAlignment="1">
      <alignment wrapText="1"/>
    </xf>
    <xf numFmtId="43" fontId="24" fillId="0" borderId="1" xfId="1" applyFont="1" applyBorder="1" applyAlignment="1">
      <alignment wrapText="1"/>
    </xf>
    <xf numFmtId="0" fontId="24" fillId="0" borderId="1" xfId="0" applyFont="1" applyBorder="1"/>
    <xf numFmtId="0" fontId="24" fillId="0" borderId="0" xfId="0" applyFont="1" applyAlignment="1">
      <alignment wrapText="1"/>
    </xf>
    <xf numFmtId="2" fontId="3" fillId="0" borderId="8" xfId="0" applyNumberFormat="1" applyFont="1" applyBorder="1" applyAlignment="1">
      <alignment wrapText="1"/>
    </xf>
    <xf numFmtId="0" fontId="3" fillId="0" borderId="8" xfId="0" applyFont="1" applyBorder="1" applyAlignment="1">
      <alignment wrapText="1"/>
    </xf>
    <xf numFmtId="43" fontId="3" fillId="0" borderId="8" xfId="1" applyFont="1" applyBorder="1" applyAlignment="1">
      <alignment wrapText="1"/>
    </xf>
    <xf numFmtId="2" fontId="24" fillId="0" borderId="8" xfId="0" applyNumberFormat="1" applyFont="1" applyBorder="1" applyAlignment="1">
      <alignment wrapText="1"/>
    </xf>
    <xf numFmtId="0" fontId="24" fillId="0" borderId="8" xfId="0" applyFont="1" applyBorder="1" applyAlignment="1">
      <alignment wrapText="1"/>
    </xf>
    <xf numFmtId="43" fontId="24" fillId="0" borderId="8" xfId="1" applyFont="1" applyBorder="1" applyAlignment="1">
      <alignment wrapText="1"/>
    </xf>
    <xf numFmtId="4" fontId="24" fillId="0" borderId="1" xfId="1" applyNumberFormat="1" applyFont="1" applyBorder="1" applyAlignment="1">
      <alignment wrapText="1"/>
    </xf>
    <xf numFmtId="0" fontId="24" fillId="0" borderId="0" xfId="0" applyFont="1"/>
    <xf numFmtId="2" fontId="0" fillId="0" borderId="8" xfId="0" applyNumberFormat="1" applyBorder="1" applyAlignment="1">
      <alignment wrapText="1"/>
    </xf>
    <xf numFmtId="4" fontId="0" fillId="0" borderId="1" xfId="1" applyNumberFormat="1" applyFont="1" applyBorder="1" applyAlignment="1">
      <alignment wrapText="1"/>
    </xf>
    <xf numFmtId="0" fontId="0" fillId="0" borderId="8" xfId="0" applyFill="1" applyBorder="1" applyAlignment="1">
      <alignment wrapText="1"/>
    </xf>
    <xf numFmtId="4" fontId="0" fillId="0" borderId="8" xfId="1" applyNumberFormat="1" applyFont="1" applyBorder="1" applyAlignment="1">
      <alignment wrapText="1"/>
    </xf>
    <xf numFmtId="0" fontId="26" fillId="0" borderId="8" xfId="0" applyFont="1" applyBorder="1" applyAlignment="1">
      <alignment wrapText="1"/>
    </xf>
    <xf numFmtId="0" fontId="0" fillId="0" borderId="1" xfId="0" applyBorder="1"/>
    <xf numFmtId="0" fontId="1" fillId="0" borderId="8" xfId="0" applyFont="1" applyBorder="1" applyAlignment="1">
      <alignment wrapText="1"/>
    </xf>
    <xf numFmtId="43" fontId="1" fillId="0" borderId="8" xfId="1" applyFont="1" applyBorder="1" applyAlignment="1">
      <alignment wrapText="1"/>
    </xf>
    <xf numFmtId="0" fontId="1" fillId="0" borderId="0" xfId="0" applyFont="1"/>
    <xf numFmtId="2" fontId="27" fillId="0" borderId="12" xfId="0" applyNumberFormat="1" applyFont="1" applyBorder="1" applyAlignment="1">
      <alignment wrapText="1"/>
    </xf>
    <xf numFmtId="0" fontId="24" fillId="0" borderId="8" xfId="0" applyFont="1" applyBorder="1" applyAlignment="1">
      <alignment horizontal="right" wrapText="1"/>
    </xf>
    <xf numFmtId="0" fontId="24" fillId="0" borderId="12" xfId="0" applyFont="1" applyBorder="1" applyAlignment="1">
      <alignment wrapText="1"/>
    </xf>
    <xf numFmtId="43" fontId="24" fillId="0" borderId="12" xfId="1" applyFont="1" applyBorder="1" applyAlignment="1">
      <alignment wrapText="1"/>
    </xf>
    <xf numFmtId="4" fontId="24" fillId="0" borderId="8" xfId="0" applyNumberFormat="1" applyFont="1" applyBorder="1" applyAlignment="1">
      <alignment wrapText="1"/>
    </xf>
    <xf numFmtId="0" fontId="28" fillId="0" borderId="0" xfId="0" applyFont="1"/>
    <xf numFmtId="0" fontId="3" fillId="0" borderId="1" xfId="0" applyFont="1" applyBorder="1"/>
    <xf numFmtId="43" fontId="20" fillId="0" borderId="0" xfId="0" applyNumberFormat="1" applyFont="1"/>
  </cellXfs>
  <cellStyles count="13">
    <cellStyle name="Comma" xfId="1" builtinId="3"/>
    <cellStyle name="Comma 2" xfId="6" xr:uid="{00000000-0005-0000-0000-000001000000}"/>
    <cellStyle name="Currency 2" xfId="3" xr:uid="{00000000-0005-0000-0000-000002000000}"/>
    <cellStyle name="Normal" xfId="0" builtinId="0"/>
    <cellStyle name="Normal 2" xfId="2" xr:uid="{00000000-0005-0000-0000-000004000000}"/>
    <cellStyle name="Normal 3" xfId="4" xr:uid="{00000000-0005-0000-0000-000005000000}"/>
    <cellStyle name="Normal 3 2" xfId="7" xr:uid="{00000000-0005-0000-0000-000006000000}"/>
    <cellStyle name="Normal 4" xfId="5" xr:uid="{00000000-0005-0000-0000-000007000000}"/>
    <cellStyle name="Normal 5" xfId="8" xr:uid="{00000000-0005-0000-0000-000008000000}"/>
    <cellStyle name="Normal 6" xfId="9" xr:uid="{2F1738C3-ADEC-4A97-8EE0-663ED95AE09F}"/>
    <cellStyle name="Normal 7" xfId="10" xr:uid="{3CAFDB79-A9FD-4AD0-8C8C-80EF31E6537D}"/>
    <cellStyle name="Normal 8" xfId="12" xr:uid="{9E704763-5DE6-44DD-AF20-F9845AED0C6C}"/>
    <cellStyle name="Percent" xfId="11" builtinId="5"/>
  </cellStyles>
  <dxfs count="53">
    <dxf>
      <font>
        <b val="0"/>
        <i val="0"/>
        <strike val="0"/>
        <condense val="0"/>
        <extend val="0"/>
        <outline val="0"/>
        <shadow val="0"/>
        <u val="none"/>
        <vertAlign val="baseline"/>
        <sz val="11"/>
        <color theme="1"/>
        <name val="David"/>
        <family val="2"/>
        <scheme val="none"/>
      </font>
      <numFmt numFmtId="35" formatCode="_ * #,##0.00_ ;_ * \-#,##0.00_ ;_ * &quot;-&quot;??_ ;_ @_ "/>
    </dxf>
    <dxf>
      <font>
        <b val="0"/>
        <i val="0"/>
        <strike val="0"/>
        <u val="none"/>
        <sz val="11"/>
        <color theme="1"/>
        <name val="David"/>
      </font>
    </dxf>
    <dxf>
      <font>
        <b val="0"/>
        <i val="0"/>
        <strike val="0"/>
        <condense val="0"/>
        <extend val="0"/>
        <outline val="0"/>
        <shadow val="0"/>
        <u val="none"/>
        <vertAlign val="baseline"/>
        <sz val="11"/>
        <color theme="1"/>
        <name val="David"/>
        <family val="2"/>
        <scheme val="none"/>
      </font>
      <alignment horizontal="general" vertical="bottom" textRotation="0" wrapText="1" indent="0" justifyLastLine="0" shrinkToFit="0" readingOrder="0"/>
    </dxf>
    <dxf>
      <font>
        <b val="0"/>
        <i val="0"/>
        <strike val="0"/>
        <u val="none"/>
        <sz val="11"/>
        <color theme="1"/>
        <name val="David"/>
      </font>
      <alignment horizontal="general" vertical="bottom" textRotation="0" wrapText="1" indent="0" justifyLastLine="0" shrinkToFit="0" readingOrder="0"/>
    </dxf>
    <dxf>
      <font>
        <b val="0"/>
        <i val="0"/>
        <strike val="0"/>
        <condense val="0"/>
        <extend val="0"/>
        <outline val="0"/>
        <shadow val="0"/>
        <u val="none"/>
        <vertAlign val="baseline"/>
        <sz val="11"/>
        <color theme="1"/>
        <name val="David"/>
        <family val="2"/>
        <scheme val="none"/>
      </font>
      <alignment horizontal="general" vertical="bottom" textRotation="0" wrapText="1" indent="0" justifyLastLine="0" shrinkToFit="0" readingOrder="0"/>
    </dxf>
    <dxf>
      <font>
        <b val="0"/>
        <i val="0"/>
        <strike val="0"/>
        <u val="none"/>
        <sz val="11"/>
        <color theme="1"/>
        <name val="David"/>
      </font>
      <alignment horizontal="general" vertical="bottom" textRotation="0" wrapText="1" shrinkToFit="0" readingOrder="0"/>
    </dxf>
    <dxf>
      <font>
        <b val="0"/>
        <i val="0"/>
        <strike val="0"/>
        <condense val="0"/>
        <extend val="0"/>
        <outline val="0"/>
        <shadow val="0"/>
        <u val="none"/>
        <vertAlign val="baseline"/>
        <sz val="11"/>
        <color rgb="FFFF0000"/>
        <name val="David"/>
        <family val="2"/>
        <scheme val="none"/>
      </font>
    </dxf>
    <dxf>
      <font>
        <b val="0"/>
        <i val="0"/>
        <strike val="0"/>
        <u val="none"/>
        <sz val="11"/>
        <color rgb="FFFF0000"/>
        <name val="David"/>
      </font>
    </dxf>
    <dxf>
      <alignment horizontal="center" vertical="center" textRotation="0" wrapText="0" shrinkToFit="0" readingOrder="0"/>
    </dxf>
    <dxf>
      <numFmt numFmtId="35" formatCode="_ * #,##0.00_ ;_ * \-#,##0.00_ ;_ * &quot;-&quot;??_ ;_ @_ "/>
    </dxf>
    <dxf>
      <numFmt numFmtId="35" formatCode="_ * #,##0.00_ ;_ * \-#,##0.00_ ;_ * &quot;-&quot;??_ ;_ @_ "/>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charset val="177"/>
        <scheme val="minor"/>
      </font>
      <numFmt numFmtId="4" formatCode="#,##0.00"/>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numFmt numFmtId="4" formatCode="#,##0.00"/>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Arial"/>
        <family val="2"/>
        <charset val="177"/>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numFmt numFmtId="35" formatCode="_ * #,##0.00_ ;_ * \-#,##0.00_ ;_ * &quot;-&quot;??_ ;_ @_ "/>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numFmt numFmtId="35" formatCode="_ * #,##0.00_ ;_ * \-#,##0.00_ ;_ * &quot;-&quot;??_ ;_ @_ "/>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Arial"/>
        <family val="2"/>
        <charset val="177"/>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Arial"/>
        <family val="2"/>
        <charset val="177"/>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numFmt numFmtId="2" formatCode="0.00"/>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numFmt numFmtId="2" formatCode="0.00"/>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border outline="0">
        <top style="thin">
          <color indexed="64"/>
        </top>
      </border>
    </dxf>
    <dxf>
      <font>
        <strike val="0"/>
        <outline val="0"/>
        <shadow val="0"/>
        <u val="none"/>
        <vertAlign val="baseline"/>
        <sz val="11"/>
        <color rgb="FFFF0000"/>
        <name val="Arial"/>
        <family val="2"/>
        <scheme val="minor"/>
      </font>
    </dxf>
    <dxf>
      <font>
        <b/>
        <i val="0"/>
        <strike val="0"/>
        <condense val="0"/>
        <extend val="0"/>
        <outline val="0"/>
        <shadow val="0"/>
        <u val="none"/>
        <vertAlign val="baseline"/>
        <sz val="11"/>
        <color theme="1"/>
        <name val="Arial"/>
        <scheme val="minor"/>
      </font>
      <fill>
        <patternFill patternType="solid">
          <fgColor indexed="64"/>
          <bgColor rgb="FF00CC99"/>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u val="none"/>
        <sz val="11"/>
        <color theme="1"/>
        <name val="David"/>
      </font>
    </dxf>
    <dxf>
      <font>
        <b val="0"/>
        <i val="0"/>
        <strike val="0"/>
        <condense val="0"/>
        <extend val="0"/>
        <outline val="0"/>
        <shadow val="0"/>
        <u val="none"/>
        <vertAlign val="baseline"/>
        <sz val="11"/>
        <color theme="1"/>
        <name val="David"/>
        <scheme val="none"/>
      </font>
    </dxf>
    <dxf>
      <font>
        <b val="0"/>
        <i val="0"/>
        <strike val="0"/>
        <u val="none"/>
        <sz val="11"/>
        <color theme="1"/>
        <name val="David"/>
      </font>
      <alignment horizontal="general" vertical="bottom" textRotation="0" wrapText="1" indent="0" justifyLastLine="0" shrinkToFit="0" readingOrder="0"/>
    </dxf>
    <dxf>
      <font>
        <b val="0"/>
        <i val="0"/>
        <strike val="0"/>
        <condense val="0"/>
        <extend val="0"/>
        <outline val="0"/>
        <shadow val="0"/>
        <u val="none"/>
        <vertAlign val="baseline"/>
        <sz val="11"/>
        <color theme="1"/>
        <name val="David"/>
        <scheme val="none"/>
      </font>
      <alignment horizontal="general" vertical="bottom" textRotation="0" wrapText="1" indent="0" justifyLastLine="0" shrinkToFit="0" readingOrder="0"/>
    </dxf>
    <dxf>
      <font>
        <b val="0"/>
        <i val="0"/>
        <strike val="0"/>
        <u val="none"/>
        <sz val="11"/>
        <color theme="1"/>
        <name val="David"/>
      </font>
      <alignment horizontal="general" vertical="bottom" textRotation="0" wrapText="1" shrinkToFit="0" readingOrder="0"/>
    </dxf>
    <dxf>
      <font>
        <b val="0"/>
        <i val="0"/>
        <strike val="0"/>
        <condense val="0"/>
        <extend val="0"/>
        <outline val="0"/>
        <shadow val="0"/>
        <u val="none"/>
        <vertAlign val="baseline"/>
        <sz val="11"/>
        <color rgb="FFFF0000"/>
        <name val="David"/>
        <scheme val="none"/>
      </font>
    </dxf>
    <dxf>
      <font>
        <b val="0"/>
        <i val="0"/>
        <strike val="0"/>
        <u val="none"/>
        <sz val="11"/>
        <color rgb="FFFF0000"/>
        <name val="David"/>
      </font>
    </dxf>
    <dxf>
      <alignment horizontal="center" vertical="center" textRotation="0" wrapText="0" shrinkToFit="0" readingOrder="0"/>
    </dxf>
  </dxfs>
  <tableStyles count="0" defaultTableStyle="TableStyleMedium2" defaultPivotStyle="PivotStyleLight16"/>
  <colors>
    <mruColors>
      <color rgb="FFFFCCCC"/>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hira.v/Desktop/&#1511;&#1493;&#1489;&#1509;%20&#1492;&#1495;&#1512;&#1490;&#1493;&#1514;%202021-%20&#1497;&#1493;&#1504;&#149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hira.v/Documents/&#1514;&#1511;&#1510;&#1497;&#1489;/&#1511;&#1493;&#1489;&#1509;%20&#1492;&#1495;&#1512;&#1490;&#1493;&#1514;%202021-%20&#1508;&#1489;&#1512;&#1493;&#1488;&#15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hira.v/Documents/&#1492;&#1502;&#1506;&#1512;&#1498;%20&#1492;&#1496;&#1499;&#1504;&#1493;&#1500;&#1493;&#1490;&#1497;/&#1502;&#1506;&#1511;&#1489;%20&#1508;&#1506;&#1497;&#1500;&#1493;&#1514;%20&#1489;&#1493;&#1491;&#1511;&#1497;&#1501;%20&#1496;&#1499;&#1504;&#1493;&#1500;&#1493;&#1490;&#1497;&#1497;&#1501;_22.02.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1493;&#1506;&#1491;&#1514;%20&#1495;&#1512;&#1497;&#1490;&#1497;&#1501;\&#1493;&#1506;&#1491;&#1514;%20&#1495;&#1512;&#1497;&#1490;&#1497;&#1501;%202021\&#1508;&#1506;&#1497;&#1500;&#1493;&#1514;%20&#1502;&#1493;&#1500;%20&#1493;&#1506;&#1491;&#1514;%20&#1495;&#1512;&#1497;&#1490;&#1497;&#1501;%20&#1489;&#1502;&#1513;&#1512;&#1491;%20&#1492;&#1488;&#1493;&#1510;&#1512;%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
      <sheetName val="שילובי תקנות וקרנות"/>
      <sheetName val="תקנות ברשות"/>
      <sheetName val="שריוני תקציב"/>
      <sheetName val="2020"/>
      <sheetName val="סיווגי הערכה +GL"/>
      <sheetName val="קובץ החרגות 2021- יוני"/>
    </sheetNames>
    <sheetDataSet>
      <sheetData sheetId="0"/>
      <sheetData sheetId="1"/>
      <sheetData sheetId="2"/>
      <sheetData sheetId="3"/>
      <sheetData sheetId="4"/>
      <sheetData sheetId="5"/>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
      <sheetName val="שילובי תקנות וקרנות"/>
      <sheetName val="תקנות ברשות"/>
      <sheetName val="שריוני תקציב"/>
      <sheetName val="2020"/>
    </sheetNames>
    <sheetDataSet>
      <sheetData sheetId="0">
        <row r="45">
          <cell r="N45">
            <v>2949415.3800000004</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שובי יתרה"/>
      <sheetName val="איסרד"/>
      <sheetName val="דוח 305"/>
      <sheetName val="דוח 103"/>
      <sheetName val="זוכי 2017"/>
      <sheetName val="זוכי 2019"/>
      <sheetName val="Excel1"/>
      <sheetName val="Excel2"/>
      <sheetName val="מכרז 04.2020"/>
      <sheetName val="מימושי אופציה יולי- 2020"/>
      <sheetName val="גיליון1"/>
      <sheetName val="גיליון1 (2)"/>
      <sheetName val="מימושי אופציה 02-21"/>
      <sheetName val="מימושי אופציה 03-21"/>
      <sheetName val="מימושי אופציה 04-21"/>
    </sheetNames>
    <sheetDataSet>
      <sheetData sheetId="0">
        <row r="21">
          <cell r="D21">
            <v>5630872.7412999999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וח פניות לאוצר 2020"/>
      <sheetName val="דוח פניות לאוצר 2021"/>
    </sheetNames>
    <sheetDataSet>
      <sheetData sheetId="0"/>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44FB5D5-0DC6-4293-8D97-355D68A019BA}" name="Table13323232352424" displayName="Table13323232352424" ref="A7:D17" totalsRowShown="0" headerRowDxfId="52">
  <autoFilter ref="A7:D17" xr:uid="{00000000-0009-0000-0100-000001000000}"/>
  <sortState xmlns:xlrd2="http://schemas.microsoft.com/office/spreadsheetml/2017/richdata2" ref="A8:D17">
    <sortCondition ref="D7:D17"/>
  </sortState>
  <tableColumns count="4">
    <tableColumn id="1" xr3:uid="{6ABE2223-10BA-4E4E-AF00-7F4482968F9B}" name="מס" dataDxfId="51" totalsRowDxfId="50"/>
    <tableColumn id="2" xr3:uid="{2D0E1205-A1B0-4D6E-985F-2E67A9AC8A7B}" name="ספק" dataDxfId="49" totalsRowDxfId="48"/>
    <tableColumn id="3" xr3:uid="{74430093-CEB4-4A14-BA7B-D488C1A45703}" name="נושא ההתקשרות" dataDxfId="47" totalsRowDxfId="46"/>
    <tableColumn id="4" xr3:uid="{4C5FB48C-0732-4C60-B28B-E2CBB0F17255}" name="סכום ההתקשרות (סכום ההתקשרות ולא סכום המזומן)" dataDxfId="45"/>
  </tableColumns>
  <tableStyleInfo name="TableStyleLight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D62ACBA-0CEA-43E6-A062-9D56BF47E0A8}" name="Table1" displayName="Table1" ref="A1:O37" totalsRowCount="1" headerRowDxfId="44" totalsRowDxfId="43" totalsRowBorderDxfId="42" headerRowCellStyle="Comma">
  <autoFilter ref="A1:O36" xr:uid="{00000000-0009-0000-0100-000001000000}">
    <filterColumn colId="10">
      <filters>
        <filter val="369010251"/>
      </filters>
    </filterColumn>
  </autoFilter>
  <tableColumns count="15">
    <tableColumn id="1" xr3:uid="{3CB35F64-4895-4E43-A017-CD430BFD0AAC}" name="23.00" dataDxfId="41" totalsRowDxfId="40"/>
    <tableColumn id="2" xr3:uid="{E0EF0061-9D6E-4EA0-951A-543A78971054}" name="שם הספק " dataDxfId="39" totalsRowDxfId="38"/>
    <tableColumn id="3" xr3:uid="{B9494E87-B48A-45EB-BFE4-02C4CE5A79ED}" name="מטרת ההתקשרות " dataDxfId="37" totalsRowDxfId="36"/>
    <tableColumn id="4" xr3:uid="{AE2BF67C-A96D-48C8-81E4-15985CF61F94}" name="סכום מבוקש בש&quot;ח כולל מעמ!!" dataDxfId="35" totalsRowDxfId="34" dataCellStyle="Comma" totalsRowCellStyle="Comma"/>
    <tableColumn id="5" xr3:uid="{0D975C3F-2880-4EE3-BB57-E775998ACF5D}" name="סכום התקשרות מצטבר מול הספק (אם רלוונטי)" dataDxfId="33" totalsRowDxfId="32" dataCellStyle="Comma" totalsRowCellStyle="Comma"/>
    <tableColumn id="6" xr3:uid="{5DFC74E0-289F-44A7-B747-6D26434BF84E}" name="יתרה מתקרת ההתקשרות" dataDxfId="31" totalsRowDxfId="30"/>
    <tableColumn id="7" xr3:uid="{8C752036-2A0B-4CE3-9EE1-1EFDEC1BDD08}" name="אושר בוועדת חריגים (אם כן, לציין מס פנייה ותאריך אישור)" dataDxfId="29" totalsRowDxfId="28"/>
    <tableColumn id="8" xr3:uid="{42CB213B-9B58-46B5-A4C3-E7AC44F545E6}" name="אושר בוועדת מכרזים (אם כן, לציין תאריך דיון)" dataDxfId="27" totalsRowDxfId="26"/>
    <tableColumn id="9" xr3:uid="{C5A2CEF8-45CD-4DC3-8CEB-BA3719BB839E}" name="תקנה/ פריט התחייבות" dataDxfId="25" totalsRowDxfId="24"/>
    <tableColumn id="10" xr3:uid="{E8696322-7DB9-4E4F-8FEC-CCFC7C1E0DED}" name="שם תקנה" dataDxfId="23" totalsRowDxfId="22"/>
    <tableColumn id="11" xr3:uid="{990FCFAF-4B96-49B6-9ABC-1EC26E0D458A}" name="מרכז קרנות" dataDxfId="21" totalsRowDxfId="20"/>
    <tableColumn id="12" xr3:uid="{D2685F56-9559-4BCB-9C42-E1783937F29B}" name="שם מרכז קרנות" dataDxfId="19" totalsRowDxfId="18"/>
    <tableColumn id="16" xr3:uid="{47B6589E-02A1-4CBF-8185-5C0BFBF8E50F}" name="נוצרה/ הוגדלה התחייבות מספר" dataDxfId="17" totalsRowDxfId="16"/>
    <tableColumn id="17" xr3:uid="{E8C11108-0D61-45B2-B9EC-2B58AB4CBE93}" name="שווי שורה/ הגדלה " totalsRowFunction="sum" dataDxfId="15" totalsRowDxfId="14" dataCellStyle="Comma" totalsRowCellStyle="Comma"/>
    <tableColumn id="18" xr3:uid="{357D6823-DA9C-4E5F-9140-B02D30CFCD74}" name="הפרש יתרה שלא נוצלה מהחרגה" dataDxfId="13" totalsRowDxfId="12" dataCellStyle="Comma" totalsRowCellStyle="Comma"/>
  </tableColumns>
  <tableStyleInfo name="TableStyleLight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C63997C-1800-4050-9F9D-7CBEFDD21CB6}" name="טבלה3" displayName="טבלה3" ref="A1:J11" totalsRowShown="0" headerRowDxfId="11">
  <autoFilter ref="A1:J11" xr:uid="{9A2FD62C-836E-458A-8FF1-BA29131AD9D4}"/>
  <tableColumns count="10">
    <tableColumn id="1" xr3:uid="{82D8F812-B5E9-4163-8386-9DA2619627C8}" name="מספר"/>
    <tableColumn id="2" xr3:uid="{49BD07CB-94CB-4E13-B2F4-74B9B88151E8}" name="תאריך פנייה"/>
    <tableColumn id="3" xr3:uid="{1CEE62B0-5CD1-404C-8949-848BAF808EA2}" name="נושא"/>
    <tableColumn id="4" xr3:uid="{114C1525-D26B-479A-B92D-017017D16B54}" name="סכום מבוקש" dataCellStyle="Comma"/>
    <tableColumn id="5" xr3:uid="{AA82840C-118D-43D3-9302-688B3856BD78}" name="סטטוס"/>
    <tableColumn id="6" xr3:uid="{D1CAD0BA-9E84-4611-9676-1F3EE1505C6C}" name="סכום מאושר" dataCellStyle="Comma"/>
    <tableColumn id="7" xr3:uid="{888F0346-9737-44CF-A7D8-06C9EFD501F2}" name="הפרש" dataDxfId="10" dataCellStyle="Comma">
      <calculatedColumnFormula>[4]!טבלה3[[#This Row],[סכום מבוקש]]-[4]!טבלה3[[#This Row],[סכום מאושר]]</calculatedColumnFormula>
    </tableColumn>
    <tableColumn id="8" xr3:uid="{280BFF2C-C252-41CB-9CD0-42ED7D238A91}" name="הערות" dataCellStyle="Comma"/>
    <tableColumn id="9" xr3:uid="{CEA58151-C723-43AC-A3B0-C644424C91EA}" name="ניצול מתוך הפנייה " dataCellStyle="Comma"/>
    <tableColumn id="10" xr3:uid="{A779EE34-98C6-4FCF-97AD-74492996CA27}" name="יתרה לניצול " dataDxfId="9" dataCellStyle="Comma">
      <calculatedColumnFormula>[4]!טבלה3[[#This Row],[סכום מאושר]]-[4]!טבלה3[[#This Row],[ניצול מתוך הפנייה ]]</calculatedColumnFormula>
    </tableColumn>
  </tableColumns>
  <tableStyleInfo name="TableStyleLight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CD5A6B-4192-4B6D-BB85-16BABCF1EE13}" name="Table133232323524242" displayName="Table133232323524242" ref="A7:D23" totalsRowCount="1" headerRowDxfId="8">
  <autoFilter ref="A7:D22" xr:uid="{00000000-0009-0000-0100-000001000000}"/>
  <sortState xmlns:xlrd2="http://schemas.microsoft.com/office/spreadsheetml/2017/richdata2" ref="A8:D22">
    <sortCondition ref="D7:D22"/>
  </sortState>
  <tableColumns count="4">
    <tableColumn id="1" xr3:uid="{CA0384C5-15F2-4FFB-BC55-80B093548943}" name="מס" dataDxfId="7" totalsRowDxfId="6"/>
    <tableColumn id="2" xr3:uid="{B0616EFC-FC48-45C5-8AEB-0DCB182F214B}" name="ספק" dataDxfId="5" totalsRowDxfId="4"/>
    <tableColumn id="3" xr3:uid="{CB966672-4869-4397-A46E-5B7E73B91EB3}" name="נושא ההתקשרות" dataDxfId="3" totalsRowDxfId="2"/>
    <tableColumn id="4" xr3:uid="{C5E03441-8A8A-4AD9-A506-7023F69670A5}" name="סכום ההתקשרות (סכום ההתקשרות ולא סכום המזומן)" totalsRowFunction="sum" dataDxfId="1" totalsRowDxfId="0"/>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1E28A-7E96-47E0-9BA4-544690F1DCA2}">
  <dimension ref="A1:F17"/>
  <sheetViews>
    <sheetView rightToLeft="1" workbookViewId="0">
      <pane xSplit="4" ySplit="7" topLeftCell="E8" activePane="bottomRight" state="frozen"/>
      <selection pane="topRight" activeCell="E1" sqref="E1"/>
      <selection pane="bottomLeft" activeCell="A8" sqref="A8"/>
      <selection pane="bottomRight" activeCell="C29" sqref="C29"/>
    </sheetView>
  </sheetViews>
  <sheetFormatPr defaultRowHeight="14.25" x14ac:dyDescent="0.2"/>
  <cols>
    <col min="2" max="2" width="35.75" hidden="1" customWidth="1"/>
    <col min="3" max="3" width="42.125" customWidth="1"/>
    <col min="4" max="4" width="27" customWidth="1"/>
  </cols>
  <sheetData>
    <row r="1" spans="1:6" ht="15.75" thickBot="1" x14ac:dyDescent="0.25">
      <c r="A1" s="1"/>
      <c r="C1" s="2"/>
      <c r="D1" s="2"/>
    </row>
    <row r="2" spans="1:6" s="3" customFormat="1" ht="15.75" x14ac:dyDescent="0.25">
      <c r="C2" s="4" t="s">
        <v>0</v>
      </c>
      <c r="D2" s="18" t="s">
        <v>62</v>
      </c>
      <c r="F2"/>
    </row>
    <row r="3" spans="1:6" s="3" customFormat="1" ht="15.75" x14ac:dyDescent="0.25">
      <c r="C3" s="20" t="s">
        <v>1</v>
      </c>
      <c r="D3" s="5"/>
      <c r="F3"/>
    </row>
    <row r="4" spans="1:6" s="3" customFormat="1" ht="15.75" x14ac:dyDescent="0.25">
      <c r="C4" s="6" t="s">
        <v>25</v>
      </c>
      <c r="D4" s="7"/>
      <c r="F4"/>
    </row>
    <row r="5" spans="1:6" s="3" customFormat="1" ht="15" x14ac:dyDescent="0.25">
      <c r="C5" s="8"/>
      <c r="D5" s="9"/>
      <c r="F5"/>
    </row>
    <row r="6" spans="1:6" s="3" customFormat="1" ht="15.75" thickBot="1" x14ac:dyDescent="0.3">
      <c r="C6" s="10" t="s">
        <v>63</v>
      </c>
      <c r="D6" s="11"/>
      <c r="F6"/>
    </row>
    <row r="7" spans="1:6" ht="28.5" x14ac:dyDescent="0.2">
      <c r="A7" s="12" t="s">
        <v>2</v>
      </c>
      <c r="B7" s="12" t="s">
        <v>3</v>
      </c>
      <c r="C7" s="12" t="s">
        <v>4</v>
      </c>
      <c r="D7" s="13" t="s">
        <v>5</v>
      </c>
    </row>
    <row r="8" spans="1:6" s="17" customFormat="1" ht="15" x14ac:dyDescent="0.25">
      <c r="A8" s="14">
        <v>1</v>
      </c>
      <c r="B8" s="26"/>
      <c r="C8" s="26" t="s">
        <v>67</v>
      </c>
      <c r="D8" s="27">
        <v>1608.75</v>
      </c>
    </row>
    <row r="9" spans="1:6" s="17" customFormat="1" ht="15" x14ac:dyDescent="0.25">
      <c r="A9" s="14">
        <v>2</v>
      </c>
      <c r="B9" s="26"/>
      <c r="C9" s="26" t="s">
        <v>70</v>
      </c>
      <c r="D9" s="27">
        <v>7424.75</v>
      </c>
    </row>
    <row r="10" spans="1:6" s="17" customFormat="1" ht="15" x14ac:dyDescent="0.25">
      <c r="A10" s="14">
        <v>3</v>
      </c>
      <c r="B10" s="26"/>
      <c r="C10" s="26" t="s">
        <v>71</v>
      </c>
      <c r="D10" s="27">
        <v>22230</v>
      </c>
    </row>
    <row r="11" spans="1:6" s="17" customFormat="1" ht="15" x14ac:dyDescent="0.25">
      <c r="A11" s="14">
        <v>4</v>
      </c>
      <c r="B11" s="15"/>
      <c r="C11" s="15" t="s">
        <v>75</v>
      </c>
      <c r="D11" s="27">
        <v>40000</v>
      </c>
    </row>
    <row r="12" spans="1:6" s="17" customFormat="1" ht="15" x14ac:dyDescent="0.25">
      <c r="A12" s="14">
        <v>5</v>
      </c>
      <c r="B12" s="15"/>
      <c r="C12" s="15" t="s">
        <v>13</v>
      </c>
      <c r="D12" s="27">
        <v>89284.84</v>
      </c>
    </row>
    <row r="13" spans="1:6" s="17" customFormat="1" ht="15" x14ac:dyDescent="0.25">
      <c r="A13" s="14">
        <v>6</v>
      </c>
      <c r="B13" s="15"/>
      <c r="C13" s="19" t="s">
        <v>74</v>
      </c>
      <c r="D13" s="27">
        <v>120000</v>
      </c>
    </row>
    <row r="14" spans="1:6" s="17" customFormat="1" ht="15" x14ac:dyDescent="0.25">
      <c r="A14" s="14">
        <v>7</v>
      </c>
      <c r="B14" s="15"/>
      <c r="C14" s="15" t="s">
        <v>73</v>
      </c>
      <c r="D14" s="27">
        <v>175000</v>
      </c>
    </row>
    <row r="15" spans="1:6" s="17" customFormat="1" ht="15" x14ac:dyDescent="0.25">
      <c r="A15" s="14">
        <v>8</v>
      </c>
      <c r="B15" s="15"/>
      <c r="C15" s="15" t="s">
        <v>76</v>
      </c>
      <c r="D15" s="27">
        <v>183000</v>
      </c>
    </row>
    <row r="16" spans="1:6" ht="15" x14ac:dyDescent="0.25">
      <c r="A16" s="14">
        <v>9</v>
      </c>
      <c r="B16" s="15"/>
      <c r="C16" s="15" t="s">
        <v>72</v>
      </c>
      <c r="D16" s="27">
        <v>449071.74099999992</v>
      </c>
    </row>
    <row r="17" spans="1:4" ht="15" x14ac:dyDescent="0.25">
      <c r="A17" s="14"/>
      <c r="B17" s="26"/>
      <c r="C17" s="26"/>
      <c r="D17" s="16">
        <f>SUBTOTAL(109,D8:D16)</f>
        <v>1087620.0809999998</v>
      </c>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4BB60-0788-411A-A865-B6DC3405723E}">
  <dimension ref="A1:T37"/>
  <sheetViews>
    <sheetView rightToLeft="1" zoomScale="80" zoomScaleNormal="80" workbookViewId="0">
      <pane ySplit="1" topLeftCell="A2" activePane="bottomLeft" state="frozen"/>
      <selection pane="bottomLeft" activeCell="N37" sqref="N37"/>
    </sheetView>
  </sheetViews>
  <sheetFormatPr defaultColWidth="9" defaultRowHeight="14.25" x14ac:dyDescent="0.2"/>
  <cols>
    <col min="1" max="1" width="6.875" style="42" customWidth="1"/>
    <col min="2" max="2" width="22.5" style="21" customWidth="1"/>
    <col min="3" max="3" width="31.5" style="21" customWidth="1"/>
    <col min="4" max="4" width="15.75" style="25" customWidth="1"/>
    <col min="5" max="5" width="15.125" style="25" hidden="1" customWidth="1"/>
    <col min="6" max="6" width="12.625" style="21" hidden="1" customWidth="1"/>
    <col min="7" max="7" width="16.25" style="21" hidden="1" customWidth="1"/>
    <col min="8" max="8" width="18.75" style="21" hidden="1" customWidth="1"/>
    <col min="9" max="12" width="18.75" style="21" customWidth="1"/>
    <col min="13" max="13" width="21.125" style="21" bestFit="1" customWidth="1"/>
    <col min="14" max="14" width="14" style="25" bestFit="1" customWidth="1"/>
    <col min="15" max="15" width="18" style="41" bestFit="1" customWidth="1"/>
    <col min="16" max="16" width="8.625" style="21" customWidth="1"/>
    <col min="17" max="17" width="9" style="21"/>
    <col min="18" max="19" width="13.5" style="21" hidden="1" customWidth="1"/>
    <col min="20" max="20" width="11.375" style="21" hidden="1" customWidth="1"/>
    <col min="21" max="16384" width="9" style="21"/>
  </cols>
  <sheetData>
    <row r="1" spans="1:20" s="40" customFormat="1" ht="45" x14ac:dyDescent="0.2">
      <c r="A1" s="33" t="s">
        <v>61</v>
      </c>
      <c r="B1" s="34" t="s">
        <v>6</v>
      </c>
      <c r="C1" s="35" t="s">
        <v>50</v>
      </c>
      <c r="D1" s="36" t="s">
        <v>7</v>
      </c>
      <c r="E1" s="36" t="s">
        <v>51</v>
      </c>
      <c r="F1" s="35" t="s">
        <v>52</v>
      </c>
      <c r="G1" s="35" t="s">
        <v>53</v>
      </c>
      <c r="H1" s="35" t="s">
        <v>54</v>
      </c>
      <c r="I1" s="35" t="s">
        <v>8</v>
      </c>
      <c r="J1" s="35" t="s">
        <v>9</v>
      </c>
      <c r="K1" s="35" t="s">
        <v>10</v>
      </c>
      <c r="L1" s="35" t="s">
        <v>11</v>
      </c>
      <c r="M1" s="35" t="s">
        <v>55</v>
      </c>
      <c r="N1" s="36" t="s">
        <v>56</v>
      </c>
      <c r="O1" s="37" t="s">
        <v>57</v>
      </c>
      <c r="P1" s="38">
        <v>200000</v>
      </c>
      <c r="Q1" s="39">
        <v>0.17</v>
      </c>
      <c r="R1" s="40" t="s">
        <v>58</v>
      </c>
      <c r="S1" s="40" t="s">
        <v>59</v>
      </c>
      <c r="T1" s="40" t="s">
        <v>60</v>
      </c>
    </row>
    <row r="2" spans="1:20" s="50" customFormat="1" hidden="1" x14ac:dyDescent="0.2">
      <c r="A2" s="54">
        <v>1.06</v>
      </c>
      <c r="B2" s="55" t="s">
        <v>77</v>
      </c>
      <c r="C2" s="55" t="s">
        <v>78</v>
      </c>
      <c r="D2" s="56">
        <v>45182</v>
      </c>
      <c r="E2" s="31"/>
      <c r="F2" s="32">
        <f t="shared" ref="F2:F22" si="0">$P$1-E2</f>
        <v>200000</v>
      </c>
      <c r="G2" s="30"/>
      <c r="H2" s="30"/>
      <c r="I2" s="49">
        <v>38300191</v>
      </c>
      <c r="J2" s="49" t="s">
        <v>12</v>
      </c>
      <c r="K2" s="49">
        <v>3690114</v>
      </c>
      <c r="L2" s="49" t="s">
        <v>79</v>
      </c>
      <c r="M2" s="55">
        <v>4501851655</v>
      </c>
      <c r="N2" s="56">
        <v>45182</v>
      </c>
      <c r="O2" s="57">
        <f t="shared" ref="O2:O34" si="1">D2-N2</f>
        <v>0</v>
      </c>
      <c r="R2" s="21"/>
      <c r="S2" s="21"/>
      <c r="T2" s="21"/>
    </row>
    <row r="3" spans="1:20" s="50" customFormat="1" ht="15" hidden="1" x14ac:dyDescent="0.25">
      <c r="A3" s="68" t="s">
        <v>80</v>
      </c>
      <c r="B3" s="55" t="s">
        <v>81</v>
      </c>
      <c r="C3" s="55" t="s">
        <v>82</v>
      </c>
      <c r="D3" s="56">
        <f>39900*1.17</f>
        <v>46683</v>
      </c>
      <c r="E3" s="31"/>
      <c r="F3" s="32">
        <f t="shared" si="0"/>
        <v>200000</v>
      </c>
      <c r="G3" s="30"/>
      <c r="H3" s="30" t="s">
        <v>83</v>
      </c>
      <c r="I3" s="47">
        <v>38300191</v>
      </c>
      <c r="J3" s="47" t="s">
        <v>12</v>
      </c>
      <c r="K3" s="47">
        <v>3690112</v>
      </c>
      <c r="L3" s="47" t="s">
        <v>23</v>
      </c>
      <c r="M3" s="55">
        <v>4502015925</v>
      </c>
      <c r="N3" s="56">
        <f>39900*1.17</f>
        <v>46683</v>
      </c>
      <c r="O3" s="57">
        <f t="shared" si="1"/>
        <v>0</v>
      </c>
      <c r="R3" s="21"/>
      <c r="S3" s="21"/>
      <c r="T3" s="21"/>
    </row>
    <row r="4" spans="1:20" s="50" customFormat="1" hidden="1" x14ac:dyDescent="0.2">
      <c r="A4" s="54" t="s">
        <v>80</v>
      </c>
      <c r="B4" s="70" t="s">
        <v>84</v>
      </c>
      <c r="C4" s="70" t="s">
        <v>85</v>
      </c>
      <c r="D4" s="71">
        <f>1725*3.5</f>
        <v>6037.5</v>
      </c>
      <c r="E4" s="66"/>
      <c r="F4" s="32">
        <f t="shared" si="0"/>
        <v>200000</v>
      </c>
      <c r="G4" s="65"/>
      <c r="H4" s="65"/>
      <c r="I4" s="47">
        <v>38300191</v>
      </c>
      <c r="J4" s="47" t="s">
        <v>12</v>
      </c>
      <c r="K4" s="47">
        <v>36901021</v>
      </c>
      <c r="L4" s="47" t="s">
        <v>15</v>
      </c>
      <c r="M4" s="55">
        <v>4502038633</v>
      </c>
      <c r="N4" s="56">
        <v>6562.53</v>
      </c>
      <c r="O4" s="57">
        <f t="shared" si="1"/>
        <v>-525.02999999999975</v>
      </c>
      <c r="R4" s="21"/>
      <c r="S4" s="21"/>
      <c r="T4" s="21"/>
    </row>
    <row r="5" spans="1:20" s="50" customFormat="1" ht="28.5" hidden="1" x14ac:dyDescent="0.2">
      <c r="A5" s="54" t="s">
        <v>80</v>
      </c>
      <c r="B5" s="55" t="s">
        <v>86</v>
      </c>
      <c r="C5" s="55" t="s">
        <v>87</v>
      </c>
      <c r="D5" s="56">
        <v>785</v>
      </c>
      <c r="E5" s="43"/>
      <c r="F5" s="32">
        <f t="shared" si="0"/>
        <v>200000</v>
      </c>
      <c r="G5" s="23"/>
      <c r="H5" s="23"/>
      <c r="I5" s="47">
        <v>38300191</v>
      </c>
      <c r="J5" s="47" t="s">
        <v>12</v>
      </c>
      <c r="K5" s="47">
        <v>36901022</v>
      </c>
      <c r="L5" s="47" t="s">
        <v>16</v>
      </c>
      <c r="M5" s="47">
        <v>4502023350</v>
      </c>
      <c r="N5" s="48">
        <v>785</v>
      </c>
      <c r="O5" s="57">
        <f t="shared" si="1"/>
        <v>0</v>
      </c>
      <c r="R5" s="21"/>
      <c r="S5" s="21"/>
      <c r="T5" s="21"/>
    </row>
    <row r="6" spans="1:20" s="50" customFormat="1" ht="28.5" hidden="1" x14ac:dyDescent="0.2">
      <c r="A6" s="54" t="s">
        <v>80</v>
      </c>
      <c r="B6" s="58" t="s">
        <v>88</v>
      </c>
      <c r="C6" s="55" t="s">
        <v>89</v>
      </c>
      <c r="D6" s="56">
        <v>9200</v>
      </c>
      <c r="E6" s="43"/>
      <c r="F6" s="32">
        <f t="shared" si="0"/>
        <v>200000</v>
      </c>
      <c r="G6" s="23"/>
      <c r="H6" s="23"/>
      <c r="I6" s="47">
        <v>38300191</v>
      </c>
      <c r="J6" s="47" t="s">
        <v>12</v>
      </c>
      <c r="K6" s="47">
        <v>3690112</v>
      </c>
      <c r="L6" s="47" t="s">
        <v>23</v>
      </c>
      <c r="M6" s="47">
        <v>4502037817</v>
      </c>
      <c r="N6" s="48">
        <v>9200</v>
      </c>
      <c r="O6" s="57">
        <f t="shared" si="1"/>
        <v>0</v>
      </c>
      <c r="R6" s="21"/>
      <c r="S6" s="21"/>
      <c r="T6" s="21"/>
    </row>
    <row r="7" spans="1:20" s="50" customFormat="1" hidden="1" x14ac:dyDescent="0.2">
      <c r="A7" s="54" t="s">
        <v>80</v>
      </c>
      <c r="B7" s="55" t="s">
        <v>90</v>
      </c>
      <c r="C7" s="55" t="s">
        <v>91</v>
      </c>
      <c r="D7" s="56">
        <v>2340</v>
      </c>
      <c r="E7" s="43"/>
      <c r="F7" s="32">
        <f t="shared" si="0"/>
        <v>200000</v>
      </c>
      <c r="G7" s="23"/>
      <c r="H7" s="23"/>
      <c r="I7" s="49">
        <v>38300191</v>
      </c>
      <c r="J7" s="49" t="s">
        <v>12</v>
      </c>
      <c r="K7" s="49">
        <v>36901024</v>
      </c>
      <c r="L7" s="49" t="s">
        <v>13</v>
      </c>
      <c r="M7" s="47">
        <v>4502037966</v>
      </c>
      <c r="N7" s="48">
        <v>2340</v>
      </c>
      <c r="O7" s="57">
        <f t="shared" si="1"/>
        <v>0</v>
      </c>
      <c r="R7" s="21"/>
      <c r="S7" s="21"/>
      <c r="T7" s="21"/>
    </row>
    <row r="8" spans="1:20" x14ac:dyDescent="0.2">
      <c r="A8" s="59">
        <v>3.06</v>
      </c>
      <c r="B8" s="30" t="s">
        <v>92</v>
      </c>
      <c r="C8" s="30" t="s">
        <v>93</v>
      </c>
      <c r="D8" s="31">
        <v>5265</v>
      </c>
      <c r="E8" s="31"/>
      <c r="F8" s="32">
        <f t="shared" si="0"/>
        <v>200000</v>
      </c>
      <c r="G8" s="30"/>
      <c r="H8" s="30"/>
      <c r="I8" s="64">
        <v>38300191</v>
      </c>
      <c r="J8" s="64" t="s">
        <v>12</v>
      </c>
      <c r="K8" s="64">
        <v>369010251</v>
      </c>
      <c r="L8" s="64" t="s">
        <v>94</v>
      </c>
      <c r="M8" s="30">
        <v>4502038974</v>
      </c>
      <c r="N8" s="31">
        <v>5265</v>
      </c>
      <c r="O8" s="60">
        <f t="shared" si="1"/>
        <v>0</v>
      </c>
    </row>
    <row r="9" spans="1:20" s="50" customFormat="1" hidden="1" x14ac:dyDescent="0.2">
      <c r="A9" s="54">
        <v>3.06</v>
      </c>
      <c r="B9" s="55" t="s">
        <v>95</v>
      </c>
      <c r="C9" s="55" t="s">
        <v>67</v>
      </c>
      <c r="D9" s="56">
        <v>11700</v>
      </c>
      <c r="E9" s="31"/>
      <c r="F9" s="32">
        <f t="shared" si="0"/>
        <v>200000</v>
      </c>
      <c r="G9" s="30"/>
      <c r="H9" s="30"/>
      <c r="I9" s="49">
        <v>38300191</v>
      </c>
      <c r="J9" s="49" t="s">
        <v>12</v>
      </c>
      <c r="K9" s="49">
        <v>36901024</v>
      </c>
      <c r="L9" s="49" t="s">
        <v>13</v>
      </c>
      <c r="M9" s="55">
        <v>4502038320</v>
      </c>
      <c r="N9" s="56">
        <v>11700</v>
      </c>
      <c r="O9" s="57">
        <f t="shared" si="1"/>
        <v>0</v>
      </c>
      <c r="R9" s="21"/>
      <c r="S9" s="21"/>
      <c r="T9" s="21"/>
    </row>
    <row r="10" spans="1:20" s="50" customFormat="1" ht="28.5" hidden="1" x14ac:dyDescent="0.2">
      <c r="A10" s="54">
        <v>6.06</v>
      </c>
      <c r="B10" s="55" t="s">
        <v>96</v>
      </c>
      <c r="C10" s="55" t="s">
        <v>97</v>
      </c>
      <c r="D10" s="56">
        <v>643.5</v>
      </c>
      <c r="E10" s="31"/>
      <c r="F10" s="32">
        <f t="shared" si="0"/>
        <v>200000</v>
      </c>
      <c r="G10" s="30" t="s">
        <v>68</v>
      </c>
      <c r="H10" s="30"/>
      <c r="I10" s="47">
        <v>38300191</v>
      </c>
      <c r="J10" s="47" t="s">
        <v>12</v>
      </c>
      <c r="K10" s="47">
        <v>36901022</v>
      </c>
      <c r="L10" s="47" t="s">
        <v>16</v>
      </c>
      <c r="M10" s="55">
        <v>4502038572</v>
      </c>
      <c r="N10" s="56">
        <v>643.5</v>
      </c>
      <c r="O10" s="57">
        <f t="shared" si="1"/>
        <v>0</v>
      </c>
      <c r="R10" s="21"/>
      <c r="S10" s="21"/>
      <c r="T10" s="21"/>
    </row>
    <row r="11" spans="1:20" s="50" customFormat="1" hidden="1" x14ac:dyDescent="0.2">
      <c r="A11" s="54">
        <v>9.06</v>
      </c>
      <c r="B11" s="55" t="s">
        <v>98</v>
      </c>
      <c r="C11" s="55" t="s">
        <v>99</v>
      </c>
      <c r="D11" s="56">
        <v>36000</v>
      </c>
      <c r="E11" s="31"/>
      <c r="F11" s="32">
        <f t="shared" si="0"/>
        <v>200000</v>
      </c>
      <c r="G11" s="30"/>
      <c r="H11" s="30"/>
      <c r="I11" s="47">
        <v>38300191</v>
      </c>
      <c r="J11" s="47" t="s">
        <v>12</v>
      </c>
      <c r="K11" s="47">
        <v>36901021</v>
      </c>
      <c r="L11" s="47" t="s">
        <v>15</v>
      </c>
      <c r="M11" s="58">
        <v>4502039122</v>
      </c>
      <c r="N11" s="56">
        <v>36017.279999999999</v>
      </c>
      <c r="O11" s="57">
        <f t="shared" si="1"/>
        <v>-17.279999999998836</v>
      </c>
      <c r="R11" s="21"/>
      <c r="S11" s="21"/>
      <c r="T11" s="21"/>
    </row>
    <row r="12" spans="1:20" s="50" customFormat="1" hidden="1" x14ac:dyDescent="0.2">
      <c r="A12" s="54">
        <v>9.06</v>
      </c>
      <c r="B12" s="55" t="s">
        <v>66</v>
      </c>
      <c r="C12" s="55" t="s">
        <v>100</v>
      </c>
      <c r="D12" s="56">
        <v>55360.6</v>
      </c>
      <c r="E12" s="31"/>
      <c r="F12" s="32">
        <f t="shared" si="0"/>
        <v>200000</v>
      </c>
      <c r="G12" s="30"/>
      <c r="H12" s="30" t="s">
        <v>101</v>
      </c>
      <c r="I12" s="47">
        <v>38300191</v>
      </c>
      <c r="J12" s="47" t="s">
        <v>12</v>
      </c>
      <c r="K12" s="47">
        <v>36901021</v>
      </c>
      <c r="L12" s="47" t="s">
        <v>15</v>
      </c>
      <c r="M12" s="55">
        <v>4501982679</v>
      </c>
      <c r="N12" s="56">
        <v>55360.6</v>
      </c>
      <c r="O12" s="57">
        <f t="shared" si="1"/>
        <v>0</v>
      </c>
      <c r="R12" s="21"/>
      <c r="S12" s="21"/>
      <c r="T12" s="21"/>
    </row>
    <row r="13" spans="1:20" s="50" customFormat="1" hidden="1" x14ac:dyDescent="0.2">
      <c r="A13" s="54">
        <v>10.06</v>
      </c>
      <c r="B13" s="55" t="s">
        <v>102</v>
      </c>
      <c r="C13" s="55" t="s">
        <v>103</v>
      </c>
      <c r="D13" s="56">
        <v>1287</v>
      </c>
      <c r="E13" s="31"/>
      <c r="F13" s="32">
        <f t="shared" si="0"/>
        <v>200000</v>
      </c>
      <c r="G13" s="30"/>
      <c r="H13" s="30"/>
      <c r="I13" s="47">
        <v>38300191</v>
      </c>
      <c r="J13" s="47" t="s">
        <v>12</v>
      </c>
      <c r="K13" s="47">
        <v>3690112</v>
      </c>
      <c r="L13" s="47" t="s">
        <v>23</v>
      </c>
      <c r="M13" s="55">
        <v>4502040501</v>
      </c>
      <c r="N13" s="56">
        <v>1287</v>
      </c>
      <c r="O13" s="57">
        <f t="shared" si="1"/>
        <v>0</v>
      </c>
      <c r="R13" s="21"/>
      <c r="S13" s="21"/>
      <c r="T13" s="21"/>
    </row>
    <row r="14" spans="1:20" s="50" customFormat="1" hidden="1" x14ac:dyDescent="0.2">
      <c r="A14" s="54">
        <v>13.06</v>
      </c>
      <c r="B14" s="55" t="s">
        <v>104</v>
      </c>
      <c r="C14" s="55" t="s">
        <v>105</v>
      </c>
      <c r="D14" s="56">
        <v>838.79</v>
      </c>
      <c r="E14" s="31"/>
      <c r="F14" s="32">
        <f t="shared" si="0"/>
        <v>200000</v>
      </c>
      <c r="G14" s="30"/>
      <c r="H14" s="30"/>
      <c r="I14" s="49">
        <v>38300191</v>
      </c>
      <c r="J14" s="49" t="s">
        <v>12</v>
      </c>
      <c r="K14" s="49">
        <v>36901024</v>
      </c>
      <c r="L14" s="49" t="s">
        <v>13</v>
      </c>
      <c r="M14" s="55">
        <v>4502041436</v>
      </c>
      <c r="N14" s="56">
        <v>838.8</v>
      </c>
      <c r="O14" s="57">
        <f t="shared" si="1"/>
        <v>-9.9999999999909051E-3</v>
      </c>
      <c r="R14" s="21"/>
      <c r="S14" s="21"/>
      <c r="T14" s="21"/>
    </row>
    <row r="15" spans="1:20" s="50" customFormat="1" hidden="1" x14ac:dyDescent="0.2">
      <c r="A15" s="54">
        <v>13.06</v>
      </c>
      <c r="B15" s="55" t="s">
        <v>106</v>
      </c>
      <c r="C15" s="55" t="s">
        <v>107</v>
      </c>
      <c r="D15" s="56">
        <f>15600*1.17</f>
        <v>18252</v>
      </c>
      <c r="E15" s="31"/>
      <c r="F15" s="32">
        <f t="shared" si="0"/>
        <v>200000</v>
      </c>
      <c r="G15" s="30"/>
      <c r="H15" s="30"/>
      <c r="I15" s="47">
        <v>38300191</v>
      </c>
      <c r="J15" s="47" t="s">
        <v>12</v>
      </c>
      <c r="K15" s="47">
        <v>3690112</v>
      </c>
      <c r="L15" s="47" t="s">
        <v>23</v>
      </c>
      <c r="M15" s="55">
        <v>4502043135</v>
      </c>
      <c r="N15" s="56">
        <v>18252</v>
      </c>
      <c r="O15" s="57">
        <f t="shared" si="1"/>
        <v>0</v>
      </c>
      <c r="R15" s="21"/>
      <c r="S15" s="21"/>
      <c r="T15" s="21"/>
    </row>
    <row r="16" spans="1:20" s="50" customFormat="1" ht="28.5" hidden="1" x14ac:dyDescent="0.2">
      <c r="A16" s="54">
        <v>13.06</v>
      </c>
      <c r="B16" s="55" t="s">
        <v>108</v>
      </c>
      <c r="C16" s="55" t="s">
        <v>109</v>
      </c>
      <c r="D16" s="56">
        <v>269594.90999999997</v>
      </c>
      <c r="E16" s="31"/>
      <c r="F16" s="32">
        <f t="shared" si="0"/>
        <v>200000</v>
      </c>
      <c r="G16" s="30"/>
      <c r="H16" s="30" t="s">
        <v>110</v>
      </c>
      <c r="I16" s="47">
        <v>38300191</v>
      </c>
      <c r="J16" s="47" t="s">
        <v>12</v>
      </c>
      <c r="K16" s="47">
        <v>36901021</v>
      </c>
      <c r="L16" s="47" t="s">
        <v>15</v>
      </c>
      <c r="M16" s="55">
        <v>4501813990</v>
      </c>
      <c r="N16" s="56">
        <f>[1]!Table1[[#This Row],[סכום מבוקש בש"ח כולל מעמ!!]]</f>
        <v>6300</v>
      </c>
      <c r="O16" s="57">
        <f t="shared" si="1"/>
        <v>263294.90999999997</v>
      </c>
      <c r="R16" s="21"/>
      <c r="S16" s="21"/>
      <c r="T16" s="21"/>
    </row>
    <row r="17" spans="1:20" s="50" customFormat="1" hidden="1" x14ac:dyDescent="0.2">
      <c r="A17" s="54">
        <v>13.06</v>
      </c>
      <c r="B17" s="58" t="s">
        <v>111</v>
      </c>
      <c r="C17" s="55" t="s">
        <v>112</v>
      </c>
      <c r="D17" s="56">
        <v>50000</v>
      </c>
      <c r="E17" s="31"/>
      <c r="F17" s="32">
        <f t="shared" si="0"/>
        <v>200000</v>
      </c>
      <c r="G17" s="30"/>
      <c r="H17" s="30"/>
      <c r="I17" s="49">
        <v>38300191</v>
      </c>
      <c r="J17" s="49" t="s">
        <v>12</v>
      </c>
      <c r="K17" s="49">
        <v>3690113</v>
      </c>
      <c r="L17" s="49" t="s">
        <v>113</v>
      </c>
      <c r="M17" s="69" t="s">
        <v>114</v>
      </c>
      <c r="N17" s="56">
        <f>21368*1.17</f>
        <v>25000.559999999998</v>
      </c>
      <c r="O17" s="57">
        <f t="shared" si="1"/>
        <v>24999.440000000002</v>
      </c>
      <c r="R17" s="21"/>
      <c r="S17" s="21"/>
      <c r="T17" s="21"/>
    </row>
    <row r="18" spans="1:20" s="50" customFormat="1" hidden="1" x14ac:dyDescent="0.2">
      <c r="A18" s="54">
        <v>13.06</v>
      </c>
      <c r="B18" s="58" t="s">
        <v>115</v>
      </c>
      <c r="C18" s="55" t="s">
        <v>112</v>
      </c>
      <c r="D18" s="56">
        <v>50000</v>
      </c>
      <c r="E18" s="43"/>
      <c r="F18" s="44">
        <f t="shared" si="0"/>
        <v>200000</v>
      </c>
      <c r="G18" s="23"/>
      <c r="H18" s="23"/>
      <c r="I18" s="49">
        <v>38300191</v>
      </c>
      <c r="J18" s="49" t="s">
        <v>12</v>
      </c>
      <c r="K18" s="49">
        <v>3690113</v>
      </c>
      <c r="L18" s="49" t="s">
        <v>113</v>
      </c>
      <c r="M18" s="55">
        <v>4501952391</v>
      </c>
      <c r="N18" s="48">
        <f>21368*1.17</f>
        <v>25000.559999999998</v>
      </c>
      <c r="O18" s="57">
        <f t="shared" si="1"/>
        <v>24999.440000000002</v>
      </c>
      <c r="R18" s="21"/>
      <c r="S18" s="21"/>
      <c r="T18" s="21"/>
    </row>
    <row r="19" spans="1:20" s="50" customFormat="1" hidden="1" x14ac:dyDescent="0.2">
      <c r="A19" s="54">
        <v>14.06</v>
      </c>
      <c r="B19" s="55" t="s">
        <v>116</v>
      </c>
      <c r="C19" s="55" t="s">
        <v>117</v>
      </c>
      <c r="D19" s="56">
        <f>520*1.17</f>
        <v>608.4</v>
      </c>
      <c r="E19" s="31"/>
      <c r="F19" s="32">
        <f t="shared" si="0"/>
        <v>200000</v>
      </c>
      <c r="G19" s="30"/>
      <c r="H19" s="30"/>
      <c r="I19" s="49">
        <v>38300191</v>
      </c>
      <c r="J19" s="49" t="s">
        <v>12</v>
      </c>
      <c r="K19" s="49">
        <v>36901024</v>
      </c>
      <c r="L19" s="49" t="s">
        <v>13</v>
      </c>
      <c r="M19" s="55">
        <v>4502042539</v>
      </c>
      <c r="N19" s="56">
        <v>608.4</v>
      </c>
      <c r="O19" s="57">
        <f t="shared" si="1"/>
        <v>0</v>
      </c>
      <c r="R19" s="21"/>
      <c r="S19" s="21"/>
      <c r="T19" s="21"/>
    </row>
    <row r="20" spans="1:20" s="50" customFormat="1" hidden="1" x14ac:dyDescent="0.2">
      <c r="A20" s="54">
        <v>14.06</v>
      </c>
      <c r="B20" s="55" t="s">
        <v>118</v>
      </c>
      <c r="C20" s="55" t="s">
        <v>119</v>
      </c>
      <c r="D20" s="56">
        <f>1656*1.17</f>
        <v>1937.52</v>
      </c>
      <c r="E20" s="31"/>
      <c r="F20" s="32">
        <f t="shared" si="0"/>
        <v>200000</v>
      </c>
      <c r="G20" s="30"/>
      <c r="H20" s="30"/>
      <c r="I20" s="47">
        <v>38300191</v>
      </c>
      <c r="J20" s="47" t="s">
        <v>12</v>
      </c>
      <c r="K20" s="47">
        <v>36901022</v>
      </c>
      <c r="L20" s="47" t="s">
        <v>16</v>
      </c>
      <c r="M20" s="55">
        <v>4502042566</v>
      </c>
      <c r="N20" s="56">
        <v>1937</v>
      </c>
      <c r="O20" s="57">
        <f t="shared" si="1"/>
        <v>0.51999999999998181</v>
      </c>
      <c r="R20" s="21"/>
      <c r="S20" s="21"/>
      <c r="T20" s="21"/>
    </row>
    <row r="21" spans="1:20" s="50" customFormat="1" hidden="1" x14ac:dyDescent="0.2">
      <c r="A21" s="54">
        <v>14.06</v>
      </c>
      <c r="B21" s="55" t="s">
        <v>120</v>
      </c>
      <c r="C21" s="55" t="s">
        <v>121</v>
      </c>
      <c r="D21" s="56">
        <f>2780*1.17</f>
        <v>3252.6</v>
      </c>
      <c r="E21" s="43"/>
      <c r="F21" s="44">
        <f t="shared" si="0"/>
        <v>200000</v>
      </c>
      <c r="G21" s="23"/>
      <c r="H21" s="23"/>
      <c r="I21" s="47">
        <v>38300191</v>
      </c>
      <c r="J21" s="47" t="s">
        <v>12</v>
      </c>
      <c r="K21" s="47">
        <v>36901022</v>
      </c>
      <c r="L21" s="47" t="s">
        <v>16</v>
      </c>
      <c r="M21" s="47">
        <v>4502042551</v>
      </c>
      <c r="N21" s="48">
        <v>3252</v>
      </c>
      <c r="O21" s="57">
        <f t="shared" si="1"/>
        <v>0.59999999999990905</v>
      </c>
      <c r="R21" s="21"/>
      <c r="S21" s="21"/>
      <c r="T21" s="21"/>
    </row>
    <row r="22" spans="1:20" s="50" customFormat="1" hidden="1" x14ac:dyDescent="0.2">
      <c r="A22" s="54">
        <v>21.06</v>
      </c>
      <c r="B22" s="55" t="s">
        <v>122</v>
      </c>
      <c r="C22" s="55" t="s">
        <v>123</v>
      </c>
      <c r="D22" s="56">
        <v>50000</v>
      </c>
      <c r="E22" s="31"/>
      <c r="F22" s="32">
        <f t="shared" si="0"/>
        <v>200000</v>
      </c>
      <c r="G22" s="30"/>
      <c r="H22" s="30" t="s">
        <v>124</v>
      </c>
      <c r="I22" s="49">
        <v>38300191</v>
      </c>
      <c r="J22" s="49" t="s">
        <v>12</v>
      </c>
      <c r="K22" s="49">
        <v>369010241</v>
      </c>
      <c r="L22" s="49" t="s">
        <v>125</v>
      </c>
      <c r="M22" s="55">
        <v>4501903894</v>
      </c>
      <c r="N22" s="56">
        <f>23844.72+25799.2</f>
        <v>49643.92</v>
      </c>
      <c r="O22" s="57">
        <f t="shared" si="1"/>
        <v>356.08000000000175</v>
      </c>
      <c r="R22" s="21"/>
      <c r="S22" s="21"/>
      <c r="T22" s="21"/>
    </row>
    <row r="23" spans="1:20" s="50" customFormat="1" ht="42.75" hidden="1" x14ac:dyDescent="0.2">
      <c r="A23" s="54">
        <v>22.06</v>
      </c>
      <c r="B23" s="55" t="s">
        <v>126</v>
      </c>
      <c r="C23" s="50" t="s">
        <v>127</v>
      </c>
      <c r="D23" s="56">
        <v>31020</v>
      </c>
      <c r="E23" s="31"/>
      <c r="F23" s="32">
        <f>$P$1-E23</f>
        <v>200000</v>
      </c>
      <c r="G23" s="30"/>
      <c r="H23" s="30"/>
      <c r="I23" s="49">
        <v>38300191</v>
      </c>
      <c r="J23" s="49" t="s">
        <v>12</v>
      </c>
      <c r="K23" s="49">
        <v>3690101</v>
      </c>
      <c r="L23" s="49" t="s">
        <v>128</v>
      </c>
      <c r="M23" s="55">
        <v>4502046165</v>
      </c>
      <c r="N23" s="56">
        <v>31020</v>
      </c>
      <c r="O23" s="57">
        <f t="shared" si="1"/>
        <v>0</v>
      </c>
      <c r="R23" s="21"/>
      <c r="S23" s="21"/>
      <c r="T23" s="21"/>
    </row>
    <row r="24" spans="1:20" s="50" customFormat="1" hidden="1" x14ac:dyDescent="0.2">
      <c r="A24" s="54">
        <v>23.06</v>
      </c>
      <c r="B24" s="55" t="s">
        <v>65</v>
      </c>
      <c r="C24" s="58" t="s">
        <v>129</v>
      </c>
      <c r="D24" s="56">
        <v>5262</v>
      </c>
      <c r="E24" s="31"/>
      <c r="F24" s="32">
        <f>$P$1-E24</f>
        <v>200000</v>
      </c>
      <c r="G24" s="30"/>
      <c r="H24" s="30"/>
      <c r="I24" s="49">
        <v>38300191</v>
      </c>
      <c r="J24" s="49" t="s">
        <v>12</v>
      </c>
      <c r="K24" s="49">
        <v>36901027</v>
      </c>
      <c r="L24" s="49" t="s">
        <v>130</v>
      </c>
      <c r="M24" s="55">
        <v>4502046353</v>
      </c>
      <c r="N24" s="56">
        <v>5262</v>
      </c>
      <c r="O24" s="57">
        <f t="shared" si="1"/>
        <v>0</v>
      </c>
      <c r="R24" s="21"/>
      <c r="S24" s="21"/>
      <c r="T24" s="21"/>
    </row>
    <row r="25" spans="1:20" s="46" customFormat="1" ht="43.5" hidden="1" x14ac:dyDescent="0.25">
      <c r="A25" s="51">
        <v>23.06</v>
      </c>
      <c r="B25" s="63" t="s">
        <v>167</v>
      </c>
      <c r="C25" s="50" t="s">
        <v>131</v>
      </c>
      <c r="D25" s="53">
        <f>(45000*3.4)</f>
        <v>153000</v>
      </c>
      <c r="E25" s="31"/>
      <c r="F25" s="32">
        <f>$P$1-E25</f>
        <v>200000</v>
      </c>
      <c r="G25" s="30"/>
      <c r="H25" s="67" t="s">
        <v>132</v>
      </c>
      <c r="I25" s="49">
        <v>38300191</v>
      </c>
      <c r="J25" s="74" t="s">
        <v>12</v>
      </c>
      <c r="K25" s="74">
        <v>36901101</v>
      </c>
      <c r="L25" s="74" t="s">
        <v>133</v>
      </c>
      <c r="M25" s="52">
        <v>4502045903</v>
      </c>
      <c r="N25" s="53">
        <f>45000*3.3</f>
        <v>148500</v>
      </c>
      <c r="O25" s="45">
        <f t="shared" si="1"/>
        <v>4500</v>
      </c>
      <c r="R25" s="21"/>
      <c r="S25" s="21"/>
      <c r="T25" s="21"/>
    </row>
    <row r="26" spans="1:20" s="50" customFormat="1" hidden="1" x14ac:dyDescent="0.2">
      <c r="A26" s="54">
        <v>23.06</v>
      </c>
      <c r="B26" s="55" t="s">
        <v>134</v>
      </c>
      <c r="C26" s="55" t="s">
        <v>135</v>
      </c>
      <c r="D26" s="56">
        <v>5000</v>
      </c>
      <c r="E26" s="31"/>
      <c r="F26" s="32">
        <v>200000</v>
      </c>
      <c r="G26" s="30"/>
      <c r="H26" s="30"/>
      <c r="I26" s="55">
        <v>38300191</v>
      </c>
      <c r="J26" s="55" t="s">
        <v>12</v>
      </c>
      <c r="K26" s="55">
        <v>36901024</v>
      </c>
      <c r="L26" s="55" t="s">
        <v>13</v>
      </c>
      <c r="M26" s="55">
        <v>4502020034</v>
      </c>
      <c r="N26" s="56">
        <v>5000</v>
      </c>
      <c r="O26" s="57">
        <f t="shared" si="1"/>
        <v>0</v>
      </c>
      <c r="R26" s="21"/>
      <c r="S26" s="21"/>
      <c r="T26" s="21"/>
    </row>
    <row r="27" spans="1:20" s="50" customFormat="1" hidden="1" x14ac:dyDescent="0.2">
      <c r="A27" s="54">
        <v>23.06</v>
      </c>
      <c r="B27" s="55"/>
      <c r="C27" s="55" t="s">
        <v>136</v>
      </c>
      <c r="D27" s="56">
        <f>2080*1.17</f>
        <v>2433.6</v>
      </c>
      <c r="E27" s="31"/>
      <c r="F27" s="32">
        <f t="shared" ref="F27:F36" si="2">$P$1-E27</f>
        <v>200000</v>
      </c>
      <c r="G27" s="30"/>
      <c r="H27" s="30"/>
      <c r="I27" s="47">
        <v>38300191</v>
      </c>
      <c r="J27" s="47" t="s">
        <v>12</v>
      </c>
      <c r="K27" s="47">
        <v>3690112</v>
      </c>
      <c r="L27" s="47" t="s">
        <v>23</v>
      </c>
      <c r="M27" s="55">
        <v>4502044331</v>
      </c>
      <c r="N27" s="56">
        <v>2433.6</v>
      </c>
      <c r="O27" s="57">
        <f t="shared" si="1"/>
        <v>0</v>
      </c>
      <c r="R27" s="21"/>
      <c r="S27" s="21"/>
      <c r="T27" s="21"/>
    </row>
    <row r="28" spans="1:20" s="50" customFormat="1" hidden="1" x14ac:dyDescent="0.2">
      <c r="A28" s="54">
        <v>23.06</v>
      </c>
      <c r="B28" s="55" t="s">
        <v>137</v>
      </c>
      <c r="C28" s="55" t="s">
        <v>138</v>
      </c>
      <c r="D28" s="56">
        <f>1260*1.17</f>
        <v>1474.1999999999998</v>
      </c>
      <c r="E28" s="43"/>
      <c r="F28" s="44">
        <f t="shared" si="2"/>
        <v>200000</v>
      </c>
      <c r="G28" s="23"/>
      <c r="H28" s="23"/>
      <c r="I28" s="47">
        <v>38300191</v>
      </c>
      <c r="J28" s="47" t="s">
        <v>12</v>
      </c>
      <c r="K28" s="47">
        <v>36901022</v>
      </c>
      <c r="L28" s="47" t="s">
        <v>16</v>
      </c>
      <c r="M28" s="47">
        <v>4502046536</v>
      </c>
      <c r="N28" s="48">
        <v>1474</v>
      </c>
      <c r="O28" s="57">
        <f t="shared" si="1"/>
        <v>0.1999999999998181</v>
      </c>
      <c r="R28" s="21"/>
      <c r="S28" s="21"/>
      <c r="T28" s="21"/>
    </row>
    <row r="29" spans="1:20" s="50" customFormat="1" hidden="1" x14ac:dyDescent="0.2">
      <c r="A29" s="54">
        <v>27.06</v>
      </c>
      <c r="B29" s="55" t="s">
        <v>139</v>
      </c>
      <c r="C29" s="55" t="s">
        <v>140</v>
      </c>
      <c r="D29" s="56">
        <v>5850</v>
      </c>
      <c r="E29" s="31"/>
      <c r="F29" s="32">
        <f t="shared" si="2"/>
        <v>200000</v>
      </c>
      <c r="G29" s="30"/>
      <c r="H29" s="30"/>
      <c r="I29" s="55">
        <v>38300191</v>
      </c>
      <c r="J29" s="55" t="s">
        <v>12</v>
      </c>
      <c r="K29" s="55">
        <v>36901024</v>
      </c>
      <c r="L29" s="55" t="s">
        <v>13</v>
      </c>
      <c r="M29" s="55">
        <v>4501841515</v>
      </c>
      <c r="N29" s="56">
        <v>5850</v>
      </c>
      <c r="O29" s="57">
        <f t="shared" si="1"/>
        <v>0</v>
      </c>
      <c r="R29" s="21"/>
      <c r="S29" s="21"/>
      <c r="T29" s="21"/>
    </row>
    <row r="30" spans="1:20" s="50" customFormat="1" hidden="1" x14ac:dyDescent="0.2">
      <c r="A30" s="54">
        <v>27.06</v>
      </c>
      <c r="B30" s="55" t="s">
        <v>141</v>
      </c>
      <c r="C30" s="55" t="s">
        <v>142</v>
      </c>
      <c r="D30" s="56">
        <v>114.66</v>
      </c>
      <c r="E30" s="31"/>
      <c r="F30" s="32">
        <f t="shared" si="2"/>
        <v>200000</v>
      </c>
      <c r="G30" s="30"/>
      <c r="H30" s="30"/>
      <c r="I30" s="55">
        <v>38300191</v>
      </c>
      <c r="J30" s="55" t="s">
        <v>12</v>
      </c>
      <c r="K30" s="55">
        <v>36901024</v>
      </c>
      <c r="L30" s="55" t="s">
        <v>13</v>
      </c>
      <c r="M30" s="55">
        <v>4502046525</v>
      </c>
      <c r="N30" s="56">
        <v>114.66</v>
      </c>
      <c r="O30" s="57">
        <f t="shared" si="1"/>
        <v>0</v>
      </c>
      <c r="R30" s="21"/>
      <c r="S30" s="21"/>
      <c r="T30" s="21"/>
    </row>
    <row r="31" spans="1:20" s="50" customFormat="1" hidden="1" x14ac:dyDescent="0.2">
      <c r="A31" s="54">
        <v>28.06</v>
      </c>
      <c r="B31" s="55" t="s">
        <v>64</v>
      </c>
      <c r="C31" s="55" t="s">
        <v>143</v>
      </c>
      <c r="D31" s="56">
        <v>5850</v>
      </c>
      <c r="E31" s="31"/>
      <c r="F31" s="32">
        <f t="shared" si="2"/>
        <v>200000</v>
      </c>
      <c r="G31" s="30"/>
      <c r="H31" s="30"/>
      <c r="I31" s="55">
        <v>38300191</v>
      </c>
      <c r="J31" s="55" t="s">
        <v>12</v>
      </c>
      <c r="K31" s="55">
        <v>36901024</v>
      </c>
      <c r="L31" s="55" t="s">
        <v>13</v>
      </c>
      <c r="M31" s="55">
        <v>4502027137</v>
      </c>
      <c r="N31" s="56">
        <v>5850</v>
      </c>
      <c r="O31" s="57">
        <f t="shared" si="1"/>
        <v>0</v>
      </c>
      <c r="R31" s="21"/>
      <c r="S31" s="21"/>
      <c r="T31" s="21"/>
    </row>
    <row r="32" spans="1:20" s="50" customFormat="1" hidden="1" x14ac:dyDescent="0.2">
      <c r="A32" s="54">
        <v>28.06</v>
      </c>
      <c r="B32" s="55" t="s">
        <v>144</v>
      </c>
      <c r="C32" s="55" t="s">
        <v>145</v>
      </c>
      <c r="D32" s="56">
        <f>(107554.2+203940.48+136800)*1.17</f>
        <v>524504.77559999994</v>
      </c>
      <c r="E32" s="31"/>
      <c r="F32" s="32">
        <f t="shared" si="2"/>
        <v>200000</v>
      </c>
      <c r="G32" s="30"/>
      <c r="H32" s="30"/>
      <c r="I32" s="49">
        <v>38300191</v>
      </c>
      <c r="J32" s="49" t="s">
        <v>12</v>
      </c>
      <c r="K32" s="49">
        <v>36901023</v>
      </c>
      <c r="L32" s="49" t="s">
        <v>39</v>
      </c>
      <c r="M32" s="55">
        <v>4501765964</v>
      </c>
      <c r="N32" s="56">
        <f>[1]!Table1[[#This Row],[סכום מבוקש בש"ח כולל מעמ!!]]</f>
        <v>44845.554000000004</v>
      </c>
      <c r="O32" s="57">
        <f t="shared" si="1"/>
        <v>479659.22159999993</v>
      </c>
      <c r="R32" s="21"/>
      <c r="S32" s="21"/>
      <c r="T32" s="21"/>
    </row>
    <row r="33" spans="1:20" s="50" customFormat="1" hidden="1" x14ac:dyDescent="0.2">
      <c r="A33" s="54">
        <v>28.06</v>
      </c>
      <c r="B33" s="55" t="s">
        <v>146</v>
      </c>
      <c r="C33" s="55" t="s">
        <v>147</v>
      </c>
      <c r="D33" s="56">
        <v>858</v>
      </c>
      <c r="E33" s="31"/>
      <c r="F33" s="32">
        <f t="shared" si="2"/>
        <v>200000</v>
      </c>
      <c r="G33" s="30"/>
      <c r="H33" s="30"/>
      <c r="I33" s="47">
        <v>38300191</v>
      </c>
      <c r="J33" s="47" t="s">
        <v>12</v>
      </c>
      <c r="K33" s="47">
        <v>36901022</v>
      </c>
      <c r="L33" s="47" t="s">
        <v>16</v>
      </c>
      <c r="M33" s="55">
        <v>4502047031</v>
      </c>
      <c r="N33" s="56">
        <v>858</v>
      </c>
      <c r="O33" s="57">
        <f t="shared" si="1"/>
        <v>0</v>
      </c>
      <c r="R33" s="21"/>
      <c r="S33" s="21"/>
      <c r="T33" s="21"/>
    </row>
    <row r="34" spans="1:20" s="50" customFormat="1" hidden="1" x14ac:dyDescent="0.2">
      <c r="A34" s="54">
        <v>29.06</v>
      </c>
      <c r="B34" s="55" t="s">
        <v>148</v>
      </c>
      <c r="C34" s="55" t="s">
        <v>149</v>
      </c>
      <c r="D34" s="56">
        <f>(16000*12)*1.17</f>
        <v>224640</v>
      </c>
      <c r="E34" s="31"/>
      <c r="F34" s="32">
        <f t="shared" si="2"/>
        <v>200000</v>
      </c>
      <c r="G34" s="30"/>
      <c r="H34" s="30" t="s">
        <v>110</v>
      </c>
      <c r="I34" s="47">
        <v>38300191</v>
      </c>
      <c r="J34" s="47" t="s">
        <v>12</v>
      </c>
      <c r="K34" s="47">
        <v>3690112</v>
      </c>
      <c r="L34" s="47" t="s">
        <v>23</v>
      </c>
      <c r="M34" s="55">
        <v>4502046182</v>
      </c>
      <c r="N34" s="56">
        <v>224640</v>
      </c>
      <c r="O34" s="57">
        <f t="shared" si="1"/>
        <v>0</v>
      </c>
      <c r="R34" s="21"/>
      <c r="S34" s="21"/>
      <c r="T34" s="21"/>
    </row>
    <row r="35" spans="1:20" s="50" customFormat="1" hidden="1" x14ac:dyDescent="0.2">
      <c r="A35" s="54">
        <v>30.06</v>
      </c>
      <c r="B35" s="55" t="s">
        <v>150</v>
      </c>
      <c r="C35" s="55" t="s">
        <v>151</v>
      </c>
      <c r="D35" s="56">
        <v>42000</v>
      </c>
      <c r="E35" s="31"/>
      <c r="F35" s="32">
        <f t="shared" si="2"/>
        <v>200000</v>
      </c>
      <c r="G35" s="30"/>
      <c r="H35" s="30"/>
      <c r="I35" s="47">
        <v>38300191</v>
      </c>
      <c r="J35" s="47" t="s">
        <v>12</v>
      </c>
      <c r="K35" s="47">
        <v>36901022</v>
      </c>
      <c r="L35" s="47" t="s">
        <v>16</v>
      </c>
      <c r="M35" s="55">
        <v>4502048495</v>
      </c>
      <c r="N35" s="56">
        <v>42000</v>
      </c>
      <c r="O35" s="72">
        <f>[1]!Table1[[#This Row],[סכום התקשרות מצטבר מול הספק (אם רלוונטי)]]-[1]!Table1[[#This Row],[שווי שורה/ הגדלה ]]</f>
        <v>0</v>
      </c>
      <c r="R35" s="21"/>
      <c r="S35" s="21"/>
      <c r="T35" s="21"/>
    </row>
    <row r="36" spans="1:20" s="50" customFormat="1" ht="28.5" hidden="1" x14ac:dyDescent="0.2">
      <c r="A36" s="54">
        <v>30.06</v>
      </c>
      <c r="B36" s="55" t="s">
        <v>152</v>
      </c>
      <c r="C36" s="55" t="s">
        <v>153</v>
      </c>
      <c r="D36" s="56">
        <v>2732</v>
      </c>
      <c r="E36" s="31"/>
      <c r="F36" s="32">
        <f t="shared" si="2"/>
        <v>200000</v>
      </c>
      <c r="G36" s="30"/>
      <c r="H36" s="30"/>
      <c r="I36" s="47">
        <v>38300191</v>
      </c>
      <c r="J36" s="47" t="s">
        <v>12</v>
      </c>
      <c r="K36" s="47">
        <v>36901022</v>
      </c>
      <c r="L36" s="47" t="s">
        <v>16</v>
      </c>
      <c r="M36" s="55">
        <v>4502047909</v>
      </c>
      <c r="N36" s="56">
        <v>2732</v>
      </c>
      <c r="O36" s="72">
        <f>[1]!Table1[[#This Row],[סכום התקשרות מצטבר מול הספק (אם רלוונטי)]]-[1]!Table1[[#This Row],[שווי שורה/ הגדלה ]]</f>
        <v>0</v>
      </c>
      <c r="R36" s="21"/>
      <c r="S36" s="21"/>
      <c r="T36" s="21"/>
    </row>
    <row r="37" spans="1:20" x14ac:dyDescent="0.2">
      <c r="A37" s="59"/>
      <c r="B37" s="30"/>
      <c r="C37" s="30"/>
      <c r="D37" s="31"/>
      <c r="E37" s="31"/>
      <c r="F37" s="32"/>
      <c r="G37" s="30"/>
      <c r="H37" s="30"/>
      <c r="I37" s="61"/>
      <c r="J37" s="61"/>
      <c r="K37" s="61"/>
      <c r="L37" s="61"/>
      <c r="M37" s="30"/>
      <c r="N37" s="31">
        <f>SUBTOTAL(109,Table1[שווי שורה/ הגדלה ])</f>
        <v>5265</v>
      </c>
      <c r="O37" s="62"/>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98F1C-4AE6-43CF-90B9-B560C496C208}">
  <dimension ref="A1:J38"/>
  <sheetViews>
    <sheetView rightToLeft="1" zoomScale="90" zoomScaleNormal="90" workbookViewId="0">
      <pane ySplit="1" topLeftCell="A2" activePane="bottomLeft" state="frozen"/>
      <selection pane="bottomLeft" activeCell="A7" sqref="A7"/>
    </sheetView>
  </sheetViews>
  <sheetFormatPr defaultRowHeight="14.25" x14ac:dyDescent="0.2"/>
  <cols>
    <col min="2" max="2" width="12.125" customWidth="1"/>
    <col min="3" max="3" width="47.75" customWidth="1"/>
    <col min="4" max="4" width="14.875" style="22" customWidth="1"/>
    <col min="5" max="5" width="14.125" customWidth="1"/>
    <col min="6" max="6" width="14.75" style="22" bestFit="1" customWidth="1"/>
    <col min="7" max="7" width="15.875" style="22" customWidth="1"/>
    <col min="8" max="8" width="15.875" customWidth="1"/>
    <col min="9" max="9" width="12.375" bestFit="1" customWidth="1"/>
    <col min="10" max="10" width="14.125" bestFit="1" customWidth="1"/>
  </cols>
  <sheetData>
    <row r="1" spans="1:10" s="13" customFormat="1" ht="28.5" x14ac:dyDescent="0.2">
      <c r="A1" s="13" t="s">
        <v>17</v>
      </c>
      <c r="B1" s="13" t="s">
        <v>18</v>
      </c>
      <c r="C1" s="13" t="s">
        <v>19</v>
      </c>
      <c r="D1" s="24" t="s">
        <v>20</v>
      </c>
      <c r="E1" s="13" t="s">
        <v>21</v>
      </c>
      <c r="F1" s="24" t="s">
        <v>22</v>
      </c>
      <c r="G1" s="24" t="s">
        <v>24</v>
      </c>
      <c r="H1" s="13" t="s">
        <v>28</v>
      </c>
      <c r="I1" s="13" t="s">
        <v>29</v>
      </c>
      <c r="J1" s="13" t="s">
        <v>30</v>
      </c>
    </row>
    <row r="2" spans="1:10" ht="57" x14ac:dyDescent="0.2">
      <c r="A2">
        <v>34637</v>
      </c>
      <c r="B2" t="s">
        <v>26</v>
      </c>
      <c r="C2" s="21" t="s">
        <v>31</v>
      </c>
      <c r="D2" s="22">
        <v>5800000</v>
      </c>
      <c r="E2" t="s">
        <v>14</v>
      </c>
      <c r="F2" s="22">
        <v>5800000</v>
      </c>
      <c r="G2" s="22">
        <f>[4]!טבלה3[[#This Row],[סכום מבוקש]]-[4]!טבלה3[[#This Row],[סכום מאושר]]</f>
        <v>0</v>
      </c>
      <c r="H2" s="22"/>
      <c r="I2" s="22"/>
      <c r="J2" s="22">
        <f>[4]!טבלה3[[#This Row],[סכום מאושר]]-[4]!טבלה3[[#This Row],[ניצול מתוך הפנייה ]]</f>
        <v>5800000</v>
      </c>
    </row>
    <row r="3" spans="1:10" ht="28.5" x14ac:dyDescent="0.2">
      <c r="A3">
        <v>34657</v>
      </c>
      <c r="B3" t="s">
        <v>27</v>
      </c>
      <c r="C3" s="21" t="s">
        <v>32</v>
      </c>
      <c r="D3" s="22">
        <v>7500000</v>
      </c>
      <c r="E3" t="s">
        <v>14</v>
      </c>
      <c r="F3" s="22">
        <v>7500000</v>
      </c>
      <c r="G3" s="22">
        <f>[4]!טבלה3[[#This Row],[סכום מבוקש]]-[4]!טבלה3[[#This Row],[סכום מאושר]]</f>
        <v>0</v>
      </c>
      <c r="H3" s="22"/>
      <c r="I3" s="22">
        <f>'[2]2021'!$N$45</f>
        <v>2949415.3800000004</v>
      </c>
      <c r="J3" s="22">
        <f>[4]!טבלה3[[#This Row],[סכום מאושר]]-[4]!טבלה3[[#This Row],[ניצול מתוך הפנייה ]]</f>
        <v>4550584.6199999992</v>
      </c>
    </row>
    <row r="4" spans="1:10" x14ac:dyDescent="0.2">
      <c r="A4">
        <v>34803</v>
      </c>
      <c r="B4" t="s">
        <v>33</v>
      </c>
      <c r="C4" t="s">
        <v>34</v>
      </c>
      <c r="D4" s="22">
        <v>27500000</v>
      </c>
      <c r="E4" t="s">
        <v>14</v>
      </c>
      <c r="F4" s="22">
        <v>27500000</v>
      </c>
      <c r="G4" s="22">
        <f>[4]!טבלה3[[#This Row],[סכום מבוקש]]-[4]!טבלה3[[#This Row],[סכום מאושר]]</f>
        <v>0</v>
      </c>
      <c r="H4" s="22"/>
      <c r="I4" s="22">
        <f>'[3]חישובי יתרה'!$D$21</f>
        <v>5630872.7412999999</v>
      </c>
      <c r="J4" s="22">
        <f>[4]!טבלה3[[#This Row],[סכום מאושר]]-[4]!טבלה3[[#This Row],[ניצול מתוך הפנייה ]]</f>
        <v>21869127.258699998</v>
      </c>
    </row>
    <row r="5" spans="1:10" ht="42.75" x14ac:dyDescent="0.2">
      <c r="A5">
        <v>34894</v>
      </c>
      <c r="B5" t="s">
        <v>35</v>
      </c>
      <c r="C5" s="21" t="s">
        <v>36</v>
      </c>
      <c r="D5" s="22">
        <v>175500</v>
      </c>
      <c r="E5" t="s">
        <v>37</v>
      </c>
      <c r="G5" s="22">
        <f>[4]!טבלה3[[#This Row],[סכום מבוקש]]-[4]!טבלה3[[#This Row],[סכום מאושר]]</f>
        <v>175500</v>
      </c>
      <c r="H5" s="25" t="s">
        <v>38</v>
      </c>
      <c r="I5" s="22"/>
      <c r="J5" s="22">
        <f>[4]!טבלה3[[#This Row],[סכום מאושר]]-[4]!טבלה3[[#This Row],[ניצול מתוך הפנייה ]]</f>
        <v>0</v>
      </c>
    </row>
    <row r="6" spans="1:10" ht="85.5" x14ac:dyDescent="0.2">
      <c r="A6">
        <v>35092</v>
      </c>
      <c r="B6" t="s">
        <v>40</v>
      </c>
      <c r="C6" s="21" t="s">
        <v>41</v>
      </c>
      <c r="D6" s="22">
        <v>527700000</v>
      </c>
      <c r="E6" t="s">
        <v>14</v>
      </c>
      <c r="F6" s="22">
        <f>טבלה3[[#This Row],[סכום מבוקש]]</f>
        <v>527700000</v>
      </c>
      <c r="G6" s="22">
        <f>[4]!טבלה3[[#This Row],[סכום מבוקש]]-[4]!טבלה3[[#This Row],[סכום מאושר]]</f>
        <v>0</v>
      </c>
      <c r="H6" s="21" t="s">
        <v>42</v>
      </c>
      <c r="I6" s="22"/>
      <c r="J6" s="22">
        <f>[4]!טבלה3[[#This Row],[סכום מאושר]]-[4]!טבלה3[[#This Row],[ניצול מתוך הפנייה ]]</f>
        <v>527700000</v>
      </c>
    </row>
    <row r="7" spans="1:10" ht="28.5" x14ac:dyDescent="0.2">
      <c r="A7">
        <v>35254</v>
      </c>
      <c r="B7" t="s">
        <v>43</v>
      </c>
      <c r="C7" s="28" t="s">
        <v>44</v>
      </c>
      <c r="D7" s="22">
        <v>415584</v>
      </c>
      <c r="E7" t="s">
        <v>14</v>
      </c>
      <c r="F7" s="22">
        <f>טבלה3[[#This Row],[סכום מבוקש]]</f>
        <v>415584</v>
      </c>
      <c r="G7" s="22">
        <f>[4]!טבלה3[[#This Row],[סכום מבוקש]]-[4]!טבלה3[[#This Row],[סכום מאושר]]</f>
        <v>0</v>
      </c>
      <c r="H7" s="29" t="s">
        <v>45</v>
      </c>
      <c r="I7" s="22"/>
      <c r="J7" s="22">
        <f>[4]!טבלה3[[#This Row],[סכום מאושר]]-[4]!טבלה3[[#This Row],[ניצול מתוך הפנייה ]]</f>
        <v>415584</v>
      </c>
    </row>
    <row r="8" spans="1:10" ht="85.5" x14ac:dyDescent="0.2">
      <c r="A8">
        <v>35320</v>
      </c>
      <c r="B8" t="s">
        <v>46</v>
      </c>
      <c r="C8" s="28" t="s">
        <v>47</v>
      </c>
      <c r="D8" s="22">
        <v>150000</v>
      </c>
      <c r="E8" t="s">
        <v>14</v>
      </c>
      <c r="F8" s="22">
        <f>טבלה3[[#This Row],[סכום מבוקש]]</f>
        <v>150000</v>
      </c>
      <c r="G8" s="22">
        <f>[4]!טבלה3[[#This Row],[סכום מבוקש]]-[4]!טבלה3[[#This Row],[סכום מאושר]]</f>
        <v>0</v>
      </c>
      <c r="H8" s="22"/>
      <c r="I8" s="22"/>
      <c r="J8" s="22">
        <f>[4]!טבלה3[[#This Row],[סכום מאושר]]-[4]!טבלה3[[#This Row],[ניצול מתוך הפנייה ]]</f>
        <v>150000</v>
      </c>
    </row>
    <row r="9" spans="1:10" ht="28.5" x14ac:dyDescent="0.2">
      <c r="A9">
        <v>35363</v>
      </c>
      <c r="B9" t="s">
        <v>48</v>
      </c>
      <c r="C9" s="21" t="s">
        <v>49</v>
      </c>
      <c r="D9" s="22">
        <v>234000</v>
      </c>
      <c r="E9" t="s">
        <v>14</v>
      </c>
      <c r="F9" s="22">
        <f>טבלה3[[#This Row],[סכום מבוקש]]</f>
        <v>234000</v>
      </c>
      <c r="H9" s="22"/>
      <c r="I9" s="22"/>
      <c r="J9" s="22">
        <f>[4]!טבלה3[[#This Row],[סכום מאושר]]-[4]!טבלה3[[#This Row],[ניצול מתוך הפנייה ]]</f>
        <v>234000</v>
      </c>
    </row>
    <row r="10" spans="1:10" x14ac:dyDescent="0.2">
      <c r="A10">
        <v>36094</v>
      </c>
      <c r="B10" t="s">
        <v>69</v>
      </c>
      <c r="C10" t="s">
        <v>154</v>
      </c>
      <c r="D10" s="22">
        <v>877500</v>
      </c>
      <c r="E10" t="s">
        <v>14</v>
      </c>
      <c r="F10" s="22">
        <v>877500</v>
      </c>
      <c r="H10" s="22"/>
      <c r="I10" s="22"/>
      <c r="J10" s="22">
        <f>[4]!טבלה3[[#This Row],[סכום מאושר]]-[4]!טבלה3[[#This Row],[ניצול מתוך הפנייה ]]</f>
        <v>877500</v>
      </c>
    </row>
    <row r="11" spans="1:10" x14ac:dyDescent="0.2">
      <c r="G11" s="22">
        <f>[4]!טבלה3[[#This Row],[סכום מבוקש]]-[4]!טבלה3[[#This Row],[סכום מאושר]]</f>
        <v>2515500</v>
      </c>
      <c r="H11" s="22"/>
      <c r="I11" s="22"/>
      <c r="J11" s="22">
        <f>[4]!טבלה3[[#This Row],[סכום מאושר]]-[4]!טבלה3[[#This Row],[ניצול מתוך הפנייה ]]</f>
        <v>0</v>
      </c>
    </row>
    <row r="12" spans="1:10" x14ac:dyDescent="0.2">
      <c r="H12" s="22"/>
      <c r="I12" s="22"/>
      <c r="J12" s="22"/>
    </row>
    <row r="13" spans="1:10" x14ac:dyDescent="0.2">
      <c r="H13" s="22"/>
      <c r="I13" s="22"/>
      <c r="J13" s="22"/>
    </row>
    <row r="14" spans="1:10" x14ac:dyDescent="0.2">
      <c r="H14" s="22"/>
      <c r="I14" s="22"/>
      <c r="J14" s="22"/>
    </row>
    <row r="15" spans="1:10" x14ac:dyDescent="0.2">
      <c r="H15" s="22"/>
      <c r="I15" s="22"/>
      <c r="J15" s="22"/>
    </row>
    <row r="16" spans="1:10" x14ac:dyDescent="0.2">
      <c r="H16" s="22"/>
      <c r="I16" s="22"/>
      <c r="J16" s="22"/>
    </row>
    <row r="17" spans="8:10" x14ac:dyDescent="0.2">
      <c r="H17" s="22"/>
      <c r="I17" s="22"/>
      <c r="J17" s="22"/>
    </row>
    <row r="18" spans="8:10" x14ac:dyDescent="0.2">
      <c r="H18" s="22"/>
      <c r="I18" s="22"/>
      <c r="J18" s="22"/>
    </row>
    <row r="19" spans="8:10" x14ac:dyDescent="0.2">
      <c r="H19" s="22"/>
      <c r="I19" s="22"/>
      <c r="J19" s="22"/>
    </row>
    <row r="20" spans="8:10" x14ac:dyDescent="0.2">
      <c r="H20" s="22"/>
      <c r="I20" s="22"/>
      <c r="J20" s="22"/>
    </row>
    <row r="21" spans="8:10" x14ac:dyDescent="0.2">
      <c r="H21" s="22"/>
      <c r="I21" s="22"/>
      <c r="J21" s="22"/>
    </row>
    <row r="22" spans="8:10" x14ac:dyDescent="0.2">
      <c r="H22" s="22"/>
      <c r="I22" s="22"/>
      <c r="J22" s="22"/>
    </row>
    <row r="23" spans="8:10" x14ac:dyDescent="0.2">
      <c r="H23" s="22"/>
      <c r="I23" s="22"/>
      <c r="J23" s="22"/>
    </row>
    <row r="24" spans="8:10" x14ac:dyDescent="0.2">
      <c r="H24" s="22"/>
      <c r="I24" s="22"/>
      <c r="J24" s="22"/>
    </row>
    <row r="25" spans="8:10" x14ac:dyDescent="0.2">
      <c r="H25" s="22"/>
      <c r="I25" s="22"/>
      <c r="J25" s="22"/>
    </row>
    <row r="26" spans="8:10" x14ac:dyDescent="0.2">
      <c r="H26" s="22"/>
      <c r="I26" s="22"/>
      <c r="J26" s="22"/>
    </row>
    <row r="27" spans="8:10" x14ac:dyDescent="0.2">
      <c r="H27" s="22"/>
      <c r="I27" s="22"/>
      <c r="J27" s="22"/>
    </row>
    <row r="28" spans="8:10" x14ac:dyDescent="0.2">
      <c r="H28" s="22"/>
      <c r="I28" s="22"/>
      <c r="J28" s="22"/>
    </row>
    <row r="29" spans="8:10" x14ac:dyDescent="0.2">
      <c r="H29" s="22"/>
      <c r="I29" s="22"/>
      <c r="J29" s="22"/>
    </row>
    <row r="30" spans="8:10" x14ac:dyDescent="0.2">
      <c r="H30" s="22"/>
      <c r="I30" s="22"/>
      <c r="J30" s="22"/>
    </row>
    <row r="31" spans="8:10" x14ac:dyDescent="0.2">
      <c r="H31" s="22"/>
      <c r="I31" s="22"/>
      <c r="J31" s="22"/>
    </row>
    <row r="32" spans="8:10" x14ac:dyDescent="0.2">
      <c r="H32" s="22"/>
      <c r="I32" s="22"/>
      <c r="J32" s="22"/>
    </row>
    <row r="33" spans="8:10" x14ac:dyDescent="0.2">
      <c r="H33" s="22"/>
      <c r="I33" s="22"/>
      <c r="J33" s="22"/>
    </row>
    <row r="34" spans="8:10" x14ac:dyDescent="0.2">
      <c r="H34" s="22"/>
      <c r="I34" s="22"/>
      <c r="J34" s="22"/>
    </row>
    <row r="35" spans="8:10" x14ac:dyDescent="0.2">
      <c r="H35" s="22"/>
      <c r="I35" s="22"/>
      <c r="J35" s="22"/>
    </row>
    <row r="36" spans="8:10" x14ac:dyDescent="0.2">
      <c r="H36" s="22"/>
      <c r="I36" s="22"/>
      <c r="J36" s="22"/>
    </row>
    <row r="37" spans="8:10" x14ac:dyDescent="0.2">
      <c r="H37" s="22"/>
      <c r="I37" s="22"/>
      <c r="J37" s="22"/>
    </row>
    <row r="38" spans="8:10" x14ac:dyDescent="0.2">
      <c r="H38" s="22"/>
      <c r="I38" s="22"/>
      <c r="J38" s="22"/>
    </row>
  </sheetData>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70F39-F11F-4573-89A5-4F772D4FB876}">
  <dimension ref="A1:F23"/>
  <sheetViews>
    <sheetView rightToLeft="1" tabSelected="1" workbookViewId="0">
      <pane xSplit="4" ySplit="7" topLeftCell="E12" activePane="bottomRight" state="frozen"/>
      <selection pane="topRight" activeCell="E1" sqref="E1"/>
      <selection pane="bottomLeft" activeCell="A8" sqref="A8"/>
      <selection pane="bottomRight" activeCell="C21" sqref="C21"/>
    </sheetView>
  </sheetViews>
  <sheetFormatPr defaultRowHeight="14.25" x14ac:dyDescent="0.2"/>
  <cols>
    <col min="2" max="2" width="35.75" hidden="1" customWidth="1"/>
    <col min="3" max="3" width="42.125" customWidth="1"/>
    <col min="4" max="4" width="27" customWidth="1"/>
  </cols>
  <sheetData>
    <row r="1" spans="1:6" ht="15.75" thickBot="1" x14ac:dyDescent="0.25">
      <c r="A1" s="1"/>
      <c r="C1" s="2"/>
      <c r="D1" s="2"/>
    </row>
    <row r="2" spans="1:6" s="3" customFormat="1" ht="15.75" x14ac:dyDescent="0.25">
      <c r="C2" s="4" t="s">
        <v>0</v>
      </c>
      <c r="D2" s="18" t="s">
        <v>155</v>
      </c>
      <c r="F2"/>
    </row>
    <row r="3" spans="1:6" s="3" customFormat="1" ht="15.75" x14ac:dyDescent="0.25">
      <c r="C3" s="20" t="s">
        <v>1</v>
      </c>
      <c r="D3" s="5"/>
      <c r="F3"/>
    </row>
    <row r="4" spans="1:6" s="3" customFormat="1" ht="15.75" x14ac:dyDescent="0.25">
      <c r="C4" s="6" t="s">
        <v>25</v>
      </c>
      <c r="D4" s="7"/>
      <c r="F4"/>
    </row>
    <row r="5" spans="1:6" s="3" customFormat="1" ht="15" x14ac:dyDescent="0.25">
      <c r="C5" s="8"/>
      <c r="D5" s="9"/>
      <c r="F5"/>
    </row>
    <row r="6" spans="1:6" s="3" customFormat="1" ht="15.75" thickBot="1" x14ac:dyDescent="0.3">
      <c r="C6" s="10" t="s">
        <v>156</v>
      </c>
      <c r="D6" s="11"/>
      <c r="F6"/>
    </row>
    <row r="7" spans="1:6" ht="28.5" x14ac:dyDescent="0.2">
      <c r="A7" s="12" t="s">
        <v>2</v>
      </c>
      <c r="B7" s="12" t="s">
        <v>3</v>
      </c>
      <c r="C7" s="12" t="s">
        <v>4</v>
      </c>
      <c r="D7" s="13" t="s">
        <v>5</v>
      </c>
    </row>
    <row r="8" spans="1:6" s="17" customFormat="1" ht="15" x14ac:dyDescent="0.25">
      <c r="A8" s="14">
        <v>1</v>
      </c>
      <c r="B8" s="15"/>
      <c r="C8" s="15" t="s">
        <v>171</v>
      </c>
      <c r="D8" s="27">
        <v>4233.5</v>
      </c>
    </row>
    <row r="9" spans="1:6" s="17" customFormat="1" ht="15" x14ac:dyDescent="0.25">
      <c r="A9" s="14">
        <v>2</v>
      </c>
      <c r="B9" s="15"/>
      <c r="C9" s="15" t="s">
        <v>172</v>
      </c>
      <c r="D9" s="27">
        <v>5262</v>
      </c>
    </row>
    <row r="10" spans="1:6" s="17" customFormat="1" ht="15" x14ac:dyDescent="0.25">
      <c r="A10" s="14">
        <v>3</v>
      </c>
      <c r="B10" s="15"/>
      <c r="C10" s="15" t="s">
        <v>170</v>
      </c>
      <c r="D10" s="27">
        <v>5265</v>
      </c>
    </row>
    <row r="11" spans="1:6" s="17" customFormat="1" ht="15" x14ac:dyDescent="0.25">
      <c r="A11" s="14">
        <v>4</v>
      </c>
      <c r="B11" s="15"/>
      <c r="C11" s="15" t="s">
        <v>161</v>
      </c>
      <c r="D11" s="27">
        <v>7449.32</v>
      </c>
    </row>
    <row r="12" spans="1:6" s="17" customFormat="1" ht="15" x14ac:dyDescent="0.25">
      <c r="A12" s="14">
        <v>5</v>
      </c>
      <c r="B12" s="15"/>
      <c r="C12" s="19" t="s">
        <v>160</v>
      </c>
      <c r="D12" s="27">
        <v>10240</v>
      </c>
    </row>
    <row r="13" spans="1:6" s="17" customFormat="1" ht="15" x14ac:dyDescent="0.25">
      <c r="A13" s="14">
        <v>6</v>
      </c>
      <c r="B13" s="15"/>
      <c r="C13" s="15" t="s">
        <v>164</v>
      </c>
      <c r="D13" s="27">
        <v>32301</v>
      </c>
    </row>
    <row r="14" spans="1:6" s="17" customFormat="1" ht="15" x14ac:dyDescent="0.25">
      <c r="A14" s="14">
        <v>7</v>
      </c>
      <c r="B14" s="15"/>
      <c r="C14" s="15" t="s">
        <v>162</v>
      </c>
      <c r="D14" s="27">
        <v>42000</v>
      </c>
    </row>
    <row r="15" spans="1:6" s="17" customFormat="1" ht="30" x14ac:dyDescent="0.25">
      <c r="A15" s="14">
        <v>8</v>
      </c>
      <c r="B15" s="15"/>
      <c r="C15" s="15" t="s">
        <v>169</v>
      </c>
      <c r="D15" s="27">
        <v>45182</v>
      </c>
    </row>
    <row r="16" spans="1:6" ht="15" x14ac:dyDescent="0.25">
      <c r="A16" s="14">
        <v>9</v>
      </c>
      <c r="B16" s="26"/>
      <c r="C16" s="26" t="s">
        <v>157</v>
      </c>
      <c r="D16" s="27">
        <f>31020+18252</f>
        <v>49272</v>
      </c>
    </row>
    <row r="17" spans="1:4" ht="30" x14ac:dyDescent="0.25">
      <c r="A17" s="14">
        <v>10</v>
      </c>
      <c r="B17" s="15"/>
      <c r="C17" s="15" t="s">
        <v>168</v>
      </c>
      <c r="D17" s="27">
        <v>49643.92</v>
      </c>
    </row>
    <row r="18" spans="1:4" s="17" customFormat="1" ht="30" x14ac:dyDescent="0.25">
      <c r="A18" s="14">
        <v>11</v>
      </c>
      <c r="B18" s="15"/>
      <c r="C18" s="15" t="s">
        <v>166</v>
      </c>
      <c r="D18" s="27">
        <v>50000</v>
      </c>
    </row>
    <row r="19" spans="1:4" s="17" customFormat="1" ht="15" x14ac:dyDescent="0.25">
      <c r="A19" s="14">
        <v>12</v>
      </c>
      <c r="B19" s="26"/>
      <c r="C19" s="26" t="s">
        <v>158</v>
      </c>
      <c r="D19" s="27">
        <v>59603.6</v>
      </c>
    </row>
    <row r="20" spans="1:4" s="17" customFormat="1" ht="15" x14ac:dyDescent="0.25">
      <c r="A20" s="14">
        <v>13</v>
      </c>
      <c r="B20" s="15"/>
      <c r="C20" s="15" t="s">
        <v>165</v>
      </c>
      <c r="D20" s="27">
        <v>148500</v>
      </c>
    </row>
    <row r="21" spans="1:4" s="17" customFormat="1" ht="30" x14ac:dyDescent="0.25">
      <c r="A21" s="14">
        <v>14</v>
      </c>
      <c r="B21" s="26"/>
      <c r="C21" s="26" t="s">
        <v>159</v>
      </c>
      <c r="D21" s="27">
        <v>224640</v>
      </c>
    </row>
    <row r="22" spans="1:4" s="17" customFormat="1" ht="15" x14ac:dyDescent="0.25">
      <c r="A22" s="14">
        <v>15</v>
      </c>
      <c r="B22" s="26"/>
      <c r="C22" s="26" t="s">
        <v>163</v>
      </c>
      <c r="D22" s="27">
        <f>(107554.2+203940.48+136800)*1.17</f>
        <v>524504.77559999994</v>
      </c>
    </row>
    <row r="23" spans="1:4" ht="15" x14ac:dyDescent="0.25">
      <c r="A23" s="73"/>
      <c r="B23" s="26"/>
      <c r="C23" s="26"/>
      <c r="D23" s="75">
        <f>SUBTOTAL(109,Table133232323524242[סכום ההתקשרות (סכום ההתקשרות ולא סכום המזומן)])</f>
        <v>1258097.1155999999</v>
      </c>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4</vt:i4>
      </vt:variant>
    </vt:vector>
  </HeadingPairs>
  <TitlesOfParts>
    <vt:vector size="4" baseType="lpstr">
      <vt:lpstr>מאי</vt:lpstr>
      <vt:lpstr>דוח החרגות</vt:lpstr>
      <vt:lpstr>דוח פניות לאוצר 2021</vt:lpstr>
      <vt:lpstr>יוני</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Shira Vegotzky</dc:creator>
  <cp:keywords/>
  <dc:description/>
  <cp:lastModifiedBy>Shira Vegotzky</cp:lastModifiedBy>
  <dcterms:created xsi:type="dcterms:W3CDTF">2020-05-03T06:35:46Z</dcterms:created>
  <dcterms:modified xsi:type="dcterms:W3CDTF">2021-07-18T05:15:08Z</dcterms:modified>
  <cp:category/>
</cp:coreProperties>
</file>